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paular\AppData\Local\Microsoft\Windows\INetCache\Content.Outlook\P2E63B1X\"/>
    </mc:Choice>
  </mc:AlternateContent>
  <xr:revisionPtr revIDLastSave="0" documentId="13_ncr:1_{6DB5A1A3-86D4-42CE-A3DF-788FA9B4D295}" xr6:coauthVersionLast="47" xr6:coauthVersionMax="47" xr10:uidLastSave="{00000000-0000-0000-0000-000000000000}"/>
  <bookViews>
    <workbookView xWindow="-110" yWindow="-110" windowWidth="38620" windowHeight="2110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Sheet1" sheetId="14" r:id="rId7"/>
  </sheets>
  <definedNames>
    <definedName name="_xlnm.Print_Area" localSheetId="4">'All other expenses'!$A$1:$E$31</definedName>
    <definedName name="_xlnm.Print_Area" localSheetId="5">'Gifts and benefits'!$A$1:$F$38</definedName>
    <definedName name="_xlnm.Print_Area" localSheetId="0">'Guidance for agencies'!$A$1:$A$58</definedName>
    <definedName name="_xlnm.Print_Area" localSheetId="3">Hospitality!$A$1:$E$28</definedName>
    <definedName name="_xlnm.Print_Area" localSheetId="1">'Summary and sign-off'!$A$1:$F$23</definedName>
    <definedName name="_xlnm.Print_Area" localSheetId="2">Travel!$A$1:$E$275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251" i="1" l="1"/>
  <c r="B217" i="1"/>
  <c r="B230" i="1"/>
  <c r="B227" i="1"/>
  <c r="B221" i="1"/>
  <c r="B131" i="1"/>
  <c r="B112" i="1"/>
  <c r="B117" i="1"/>
  <c r="B238" i="1"/>
  <c r="B236" i="1"/>
  <c r="B201" i="1"/>
  <c r="B211" i="1"/>
  <c r="B205" i="1"/>
  <c r="B196" i="1"/>
  <c r="B233" i="1"/>
  <c r="B186" i="1"/>
  <c r="B190" i="1"/>
  <c r="B174" i="1"/>
  <c r="B207" i="1"/>
  <c r="B154" i="1"/>
  <c r="B167" i="1"/>
  <c r="B158" i="1"/>
  <c r="B137" i="1"/>
  <c r="B142" i="1"/>
  <c r="B83" i="1" l="1"/>
  <c r="B95" i="1"/>
  <c r="B65" i="1"/>
  <c r="B179" i="1"/>
  <c r="B146" i="1"/>
  <c r="B118" i="1"/>
  <c r="B103" i="1"/>
  <c r="B97" i="1"/>
  <c r="B93" i="1"/>
  <c r="B89" i="1"/>
  <c r="B67" i="1"/>
  <c r="B63" i="1"/>
  <c r="B135" i="1" l="1"/>
  <c r="B108" i="1"/>
  <c r="B133" i="1"/>
  <c r="B16" i="1"/>
  <c r="B78" i="1"/>
  <c r="B74" i="1"/>
  <c r="B61" i="1"/>
  <c r="B56" i="1"/>
  <c r="B17" i="1" l="1"/>
  <c r="B54" i="1"/>
  <c r="B51" i="1"/>
  <c r="B121" i="1"/>
  <c r="D27" i="4" l="1"/>
  <c r="C25" i="3"/>
  <c r="C21" i="2"/>
  <c r="B6" i="13"/>
  <c r="E60" i="13"/>
  <c r="C60" i="13"/>
  <c r="C29" i="4"/>
  <c r="F13" i="13" s="1"/>
  <c r="C28" i="4"/>
  <c r="F12" i="13" s="1"/>
  <c r="B60" i="13"/>
  <c r="B59" i="13"/>
  <c r="D59" i="13"/>
  <c r="B58" i="13"/>
  <c r="D58" i="13"/>
  <c r="D57" i="13"/>
  <c r="D56" i="13"/>
  <c r="D55" i="13"/>
  <c r="B2" i="4"/>
  <c r="B3" i="4"/>
  <c r="B2" i="3"/>
  <c r="B3" i="3"/>
  <c r="B2" i="2"/>
  <c r="B3" i="2"/>
  <c r="B2" i="1"/>
  <c r="B3" i="1"/>
  <c r="C13" i="13"/>
  <c r="C12" i="13"/>
  <c r="C11" i="13"/>
  <c r="C15" i="13" s="1"/>
  <c r="B5" i="4"/>
  <c r="B4" i="4"/>
  <c r="B5" i="3"/>
  <c r="B4" i="3"/>
  <c r="B5" i="2"/>
  <c r="B4" i="2"/>
  <c r="B5" i="1"/>
  <c r="B4" i="1"/>
  <c r="B25" i="3"/>
  <c r="B13" i="13" s="1"/>
  <c r="B21" i="2"/>
  <c r="B12" i="13" s="1"/>
  <c r="F59" i="13" l="1"/>
  <c r="D25" i="3" s="1"/>
  <c r="F58" i="13"/>
  <c r="D21" i="2" s="1"/>
  <c r="B31" i="1"/>
  <c r="B15" i="13" s="1"/>
  <c r="B56" i="13"/>
  <c r="F56" i="13" s="1"/>
  <c r="D245" i="1" s="1"/>
  <c r="B245" i="1"/>
  <c r="B55" i="13"/>
  <c r="F55" i="13" s="1"/>
  <c r="D31" i="1" s="1"/>
  <c r="C245" i="1"/>
  <c r="C31" i="1"/>
  <c r="C16" i="13"/>
  <c r="C264" i="1"/>
  <c r="C17" i="13"/>
  <c r="B264" i="1"/>
  <c r="B17" i="13" s="1"/>
  <c r="B57" i="13"/>
  <c r="F57" i="13" s="1"/>
  <c r="D264" i="1" s="1"/>
  <c r="C27" i="4"/>
  <c r="F11" i="13" s="1"/>
  <c r="F60" i="13"/>
  <c r="E27" i="4" s="1"/>
  <c r="B16" i="13" l="1"/>
  <c r="B11" i="13" s="1"/>
  <c r="B2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4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<sst xmlns="http://schemas.openxmlformats.org/spreadsheetml/2006/main" count="955" uniqueCount="452">
  <si>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</si>
  <si>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</si>
  <si>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</si>
  <si>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</si>
  <si>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</si>
  <si>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</si>
  <si>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</si>
  <si>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</si>
  <si>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</si>
  <si>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</si>
  <si>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</si>
  <si>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</si>
  <si>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</si>
  <si>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</si>
  <si>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</si>
  <si>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</si>
  <si>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</si>
  <si>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</si>
  <si>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</si>
  <si>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</si>
  <si>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</si>
  <si>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</si>
  <si>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</si>
  <si>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</si>
  <si>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</si>
  <si>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</si>
  <si>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</si>
  <si>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</si>
  <si>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</si>
  <si>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</si>
  <si>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</si>
  <si>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</si>
  <si>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</si>
  <si>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</si>
  <si>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</si>
  <si>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</si>
  <si>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</si>
  <si>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</si>
  <si>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</si>
  <si>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</si>
  <si>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</si>
  <si>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</si>
  <si>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</si>
  <si>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</si>
  <si>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</si>
  <si>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</si>
  <si>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</si>
  <si>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</si>
  <si>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</si>
  <si>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</si>
  <si>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</si>
  <si>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</si>
  <si>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</si>
  <si>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Sport NZ</t>
  </si>
  <si>
    <t>Secretary or Chief Executive**</t>
  </si>
  <si>
    <t>Raelene Castle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</si>
  <si>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</si>
  <si>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</si>
  <si>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</si>
  <si>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</si>
  <si>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</si>
  <si>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</si>
  <si>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</si>
  <si>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</si>
  <si>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</si>
  <si>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</si>
  <si>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</si>
  <si>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</si>
  <si>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</si>
  <si>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</si>
  <si>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</si>
  <si>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</si>
  <si>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</si>
  <si>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</si>
  <si>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</si>
  <si>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</si>
  <si>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</si>
  <si>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</si>
  <si>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</si>
  <si>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</si>
  <si>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</si>
  <si>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</si>
  <si>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</si>
  <si>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</si>
  <si>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</si>
  <si>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</si>
  <si>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</si>
  <si>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</si>
  <si>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</si>
  <si>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</si>
  <si>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</si>
  <si>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</si>
  <si>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</si>
  <si>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</si>
  <si>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</si>
  <si>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</si>
  <si>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</si>
  <si>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</si>
  <si>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</si>
  <si>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</si>
  <si>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</si>
  <si>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</si>
  <si>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</si>
  <si>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</si>
  <si>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</si>
  <si>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</si>
  <si>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</si>
  <si>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</si>
  <si>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</si>
  <si>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</si>
  <si>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</si>
  <si>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</si>
  <si>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</si>
  <si>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</si>
  <si>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</si>
  <si>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</si>
  <si>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</si>
  <si>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</si>
  <si>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</si>
  <si>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</si>
  <si>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</si>
  <si>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</si>
  <si>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</si>
  <si>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</si>
  <si>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</si>
  <si>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</si>
  <si>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19 July - 19 Aug 2024</t>
  </si>
  <si>
    <t>Meeting with Int Network of Sports Councils (Lon); Paris Olympics and associated international meetings</t>
  </si>
  <si>
    <t>Airfares</t>
  </si>
  <si>
    <t>Akld/LHR/Paris/Akld</t>
  </si>
  <si>
    <t>Trains x2 inc changes</t>
  </si>
  <si>
    <t>Lon/Paris one way and Paris/Marseille rtn</t>
  </si>
  <si>
    <t>Ubers x 31</t>
  </si>
  <si>
    <t>London and Paris</t>
  </si>
  <si>
    <t>19-22 July 2024</t>
  </si>
  <si>
    <t>Taxis x 3</t>
  </si>
  <si>
    <t>London</t>
  </si>
  <si>
    <t>21 July - 22 July 2024</t>
  </si>
  <si>
    <t>Accommodation x2 nights</t>
  </si>
  <si>
    <t>Paris Olympics and associated international meetings</t>
  </si>
  <si>
    <t>Accommodation x23 nights</t>
  </si>
  <si>
    <t>Paris / Marseille</t>
  </si>
  <si>
    <t>11-17 June 2025</t>
  </si>
  <si>
    <t>Meeting with Sport Singapore; Sport England &amp; UK Sport; Arup, Laureus Sport</t>
  </si>
  <si>
    <t>Airfare (Premium Eco)</t>
  </si>
  <si>
    <t>Akld/Sing/Lon rtn</t>
  </si>
  <si>
    <t>ex GST</t>
  </si>
  <si>
    <t>11 &amp; 12 June 2025</t>
  </si>
  <si>
    <t>Meetings with Sport Singapore</t>
  </si>
  <si>
    <t>Accommodation x 2 nights</t>
  </si>
  <si>
    <t>Singapore</t>
  </si>
  <si>
    <t>Taxis</t>
  </si>
  <si>
    <t>16 &amp; 17 June 2025</t>
  </si>
  <si>
    <t>Meetings with Sport England, UK Sport,Arup, Laureus Sport for Good</t>
  </si>
  <si>
    <t>Meetings with Sport England, UK Sport, Arup, Laureus Sport for Good</t>
  </si>
  <si>
    <t>Ubers/taxis</t>
  </si>
  <si>
    <t>Returning to NZ from above meetings in England</t>
  </si>
  <si>
    <t xml:space="preserve">Uber </t>
  </si>
  <si>
    <t>Auckland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</si>
  <si>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</si>
  <si>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</si>
  <si>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</si>
  <si>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1-3 July 2024</t>
  </si>
  <si>
    <t>Meetings with Chch staff, local partners in Chch, tour of Parakiore; mtgs in Wellington</t>
  </si>
  <si>
    <t>airfare</t>
  </si>
  <si>
    <t>Akld/Chch/Wgtn/Akld</t>
  </si>
  <si>
    <t>Ubers x5</t>
  </si>
  <si>
    <t>Akld/Chch/Wgtn</t>
  </si>
  <si>
    <t>Accommodation</t>
  </si>
  <si>
    <t>Christchurch</t>
  </si>
  <si>
    <t>Wellington</t>
  </si>
  <si>
    <t>8/9 July 2024</t>
  </si>
  <si>
    <t>Meetings in Wgtn</t>
  </si>
  <si>
    <t>Airfare</t>
  </si>
  <si>
    <t>Akld/Wgtn rtn</t>
  </si>
  <si>
    <t>Ubers x3</t>
  </si>
  <si>
    <t>Akld &amp; Wgtn</t>
  </si>
  <si>
    <t>Travel services costs for July</t>
  </si>
  <si>
    <t>21-23 Aug 2024</t>
  </si>
  <si>
    <t>Sport NZ Board meeting; meetings with staff; speaking NZ Universities l/ship prog</t>
  </si>
  <si>
    <t>accommodation x 2 nights</t>
  </si>
  <si>
    <t>Wgtn</t>
  </si>
  <si>
    <t>27-29 Aug 2024</t>
  </si>
  <si>
    <t>RST hui, local govt hui, meetings with staff</t>
  </si>
  <si>
    <t>ubers x4</t>
  </si>
  <si>
    <t>Service charge for August</t>
  </si>
  <si>
    <t>Uber</t>
  </si>
  <si>
    <t>2-4 Sept 2024</t>
  </si>
  <si>
    <t>Attend King Tauheitia's tangi; sector CE induction; internal meetings</t>
  </si>
  <si>
    <t>Ham/Wgtn/Akld</t>
  </si>
  <si>
    <t xml:space="preserve">Attend King Tauheitia's tangi; </t>
  </si>
  <si>
    <t>accommodation, 1 night</t>
  </si>
  <si>
    <t>Hamilton</t>
  </si>
  <si>
    <t>Sector CE induction; internal meetings</t>
  </si>
  <si>
    <t>Ubers</t>
  </si>
  <si>
    <t>Wgtn &amp; Akld</t>
  </si>
  <si>
    <t>9/10 Sept 2024</t>
  </si>
  <si>
    <t>Meeting w Minister; internal meetings</t>
  </si>
  <si>
    <t>Ubers x4</t>
  </si>
  <si>
    <t>16-19 Sept 2024</t>
  </si>
  <si>
    <t>Speaking at Nat. Sec. Schools hui; internal meetings; attend funeral</t>
  </si>
  <si>
    <t xml:space="preserve">airfare </t>
  </si>
  <si>
    <t>accommodation, 3 nights</t>
  </si>
  <si>
    <t>30 Sept - 2 Oct 2024</t>
  </si>
  <si>
    <t>Internal meetings</t>
  </si>
  <si>
    <t>aifare</t>
  </si>
  <si>
    <t>accommodadtion, 2 nigths</t>
  </si>
  <si>
    <t>Akld and Wgtn</t>
  </si>
  <si>
    <t>Airport parking</t>
  </si>
  <si>
    <t>Sept travel service fees</t>
  </si>
  <si>
    <t>6-7 Oct 2024</t>
  </si>
  <si>
    <t>Meetings with Active Southland; NZ v Eng netball test</t>
  </si>
  <si>
    <t>airfare (+ change Dun to Akld)</t>
  </si>
  <si>
    <t>Akld/Inv/Dun/Akld</t>
  </si>
  <si>
    <t>Invercargill</t>
  </si>
  <si>
    <t>rental car, Inv to Dunedin</t>
  </si>
  <si>
    <t>Inv/Dun</t>
  </si>
  <si>
    <t>Meetings with Cycling NZ; Home of Cycling Trust; HPSNZ staff</t>
  </si>
  <si>
    <t>Mileage (280km @ $1.04)</t>
  </si>
  <si>
    <t>Akld/Ham rtn</t>
  </si>
  <si>
    <t>17-18 Oct 2024</t>
  </si>
  <si>
    <t>Meeting with Minister; internal meetings and workshop</t>
  </si>
  <si>
    <t>Meeting with Minister; internal meetings; and workshop</t>
  </si>
  <si>
    <t>accommodation 1 night</t>
  </si>
  <si>
    <t>ubers</t>
  </si>
  <si>
    <t>21/22 Oct 2024</t>
  </si>
  <si>
    <t>speaking at HAL forum; internal meetings</t>
  </si>
  <si>
    <t>Accommodation, 1 night</t>
  </si>
  <si>
    <t>ubers x6</t>
  </si>
  <si>
    <t>24-25/10/2024</t>
  </si>
  <si>
    <t>Coronial inquiry briefing meeting</t>
  </si>
  <si>
    <t>Akld/Chch rtn</t>
  </si>
  <si>
    <t>24/25/10/2024</t>
  </si>
  <si>
    <t>ubers x2</t>
  </si>
  <si>
    <t>Akld and Chch</t>
  </si>
  <si>
    <t xml:space="preserve">29-30 Oct 2024 </t>
  </si>
  <si>
    <t>Sport NZ Board meeting; internal meetings</t>
  </si>
  <si>
    <t>Oct travel service fee</t>
  </si>
  <si>
    <t>4/5 Nov 2024</t>
  </si>
  <si>
    <t>Meeting with Minister; internal meetings</t>
  </si>
  <si>
    <t>11-12 Nov 2024</t>
  </si>
  <si>
    <t>Akld airport parking</t>
  </si>
  <si>
    <t>18 -22 Nov 2024</t>
  </si>
  <si>
    <t>Coronial inquest</t>
  </si>
  <si>
    <t>mileage (240km @ $1.04)</t>
  </si>
  <si>
    <t>Akld/Hamilton rtn</t>
  </si>
  <si>
    <t>18 - 22 Nov 2024</t>
  </si>
  <si>
    <t>accommodation (3 nights)</t>
  </si>
  <si>
    <t>meals (3 days)</t>
  </si>
  <si>
    <t>18-22 Nov 2024</t>
  </si>
  <si>
    <t>25-29 Nov 2024</t>
  </si>
  <si>
    <t>mileage (120km @ $1.04)</t>
  </si>
  <si>
    <t xml:space="preserve">Whangamata/Hamilton </t>
  </si>
  <si>
    <t>accommodation (4 nights)</t>
  </si>
  <si>
    <t>meals (4 days)</t>
  </si>
  <si>
    <t>ubers x3</t>
  </si>
  <si>
    <t>Meeting with Independent Reviewer</t>
  </si>
  <si>
    <t>Ham/Wgtn rtn</t>
  </si>
  <si>
    <t>wellington</t>
  </si>
  <si>
    <t>Nov travel service fees</t>
  </si>
  <si>
    <t>30-1 Dec 2024</t>
  </si>
  <si>
    <t>Meeting with Sports Tribunal Chair; Maori Sports Awards</t>
  </si>
  <si>
    <t>mileage (300 km @ $1.04)</t>
  </si>
  <si>
    <t>Ham/Tauranga/Akld</t>
  </si>
  <si>
    <t>accommodation (2 nights)</t>
  </si>
  <si>
    <t>Tauranga</t>
  </si>
  <si>
    <t>2-6 Dec 2024</t>
  </si>
  <si>
    <t>mileage (240km @ $1.04))</t>
  </si>
  <si>
    <t>9-13 Dec 2024</t>
  </si>
  <si>
    <t>Sport NZ 2-day board meeting; internal meetings; Select Cttee Hearing</t>
  </si>
  <si>
    <t>ubers x7</t>
  </si>
  <si>
    <t>Uber service fees Oct-Dec</t>
  </si>
  <si>
    <t>Dec travel service fees</t>
  </si>
  <si>
    <t>20 -22 Jan 2025</t>
  </si>
  <si>
    <t>Meetings in Wellington</t>
  </si>
  <si>
    <t>QT/Wgtn/Akld</t>
  </si>
  <si>
    <t>20-22 Jan 2025</t>
  </si>
  <si>
    <t>Accommodation (2 nights)</t>
  </si>
  <si>
    <t>28/29 Jan 2025</t>
  </si>
  <si>
    <t xml:space="preserve">Accommodation </t>
  </si>
  <si>
    <t>Ubers / taxi</t>
  </si>
  <si>
    <t>Wgtn/Akld</t>
  </si>
  <si>
    <t>Travel card service fee</t>
  </si>
  <si>
    <t>Uber service fees</t>
  </si>
  <si>
    <t>3/4 Feb 2025</t>
  </si>
  <si>
    <t>Wgtn/Akld one way</t>
  </si>
  <si>
    <t>Meals</t>
  </si>
  <si>
    <t>Ubersx4</t>
  </si>
  <si>
    <t>10/11 Feb 2025</t>
  </si>
  <si>
    <t>13-14/02/2025</t>
  </si>
  <si>
    <t>Meeting with new Minister</t>
  </si>
  <si>
    <t>Accommodation (1 night)</t>
  </si>
  <si>
    <t>24-26 Feb 2025</t>
  </si>
  <si>
    <t>Board induction day; board meeting, Wellington</t>
  </si>
  <si>
    <t>Ubersx3</t>
  </si>
  <si>
    <t>3-5/03/2025</t>
  </si>
  <si>
    <t>Working from Wgtn office; Parliamentary function</t>
  </si>
  <si>
    <t>Airfare (Akld to Wgtn tranferred from 10/2)</t>
  </si>
  <si>
    <t>Ubers/ taxi x4</t>
  </si>
  <si>
    <t>Wgtn&amp; Akld</t>
  </si>
  <si>
    <t>10/11 March 2025</t>
  </si>
  <si>
    <t>Officials meeting; internal meetings</t>
  </si>
  <si>
    <t xml:space="preserve">Airport parking </t>
  </si>
  <si>
    <t>Akld</t>
  </si>
  <si>
    <t>Accommodation (x1)</t>
  </si>
  <si>
    <t>12/13 March 2025</t>
  </si>
  <si>
    <t>Meetings with staff and local partners in Cambridge</t>
  </si>
  <si>
    <t>Mileage</t>
  </si>
  <si>
    <t>Akld/Cambridge rtn</t>
  </si>
  <si>
    <t>19/20 March 2025</t>
  </si>
  <si>
    <t>Taumata board meeting; internal meetings</t>
  </si>
  <si>
    <t>Meal</t>
  </si>
  <si>
    <t>25-27 March 2025</t>
  </si>
  <si>
    <t>Internal meetings; Cultural Agency CE mtg; attending T20 cricket with Ministers</t>
  </si>
  <si>
    <t>Accommodation (x2)</t>
  </si>
  <si>
    <t>Travel Service fee</t>
  </si>
  <si>
    <t>2/3 April 2025</t>
  </si>
  <si>
    <t xml:space="preserve">Bus planning offsite with Managers; </t>
  </si>
  <si>
    <t>Bus planning offsite with Managers;</t>
  </si>
  <si>
    <t>Bus planning offsite with Managers</t>
  </si>
  <si>
    <t>Airport parking (2 days)</t>
  </si>
  <si>
    <t>7-10 April 2025</t>
  </si>
  <si>
    <t>Officials mtg; Board sub cttee mtgs; internal meetings</t>
  </si>
  <si>
    <t xml:space="preserve">Airfare </t>
  </si>
  <si>
    <t>Accommodation (3 nights)</t>
  </si>
  <si>
    <t>21-24 April 2025</t>
  </si>
  <si>
    <t>Attend coronial inquiry hearing in Chch</t>
  </si>
  <si>
    <t>Ubersx2</t>
  </si>
  <si>
    <t>Airport parking (Akld)</t>
  </si>
  <si>
    <t>Meals x2</t>
  </si>
  <si>
    <t>28-30 April 2025</t>
  </si>
  <si>
    <t>Board meeting &amp; internal meetings</t>
  </si>
  <si>
    <t>Uber service fee</t>
  </si>
  <si>
    <t>6/7 May 2025</t>
  </si>
  <si>
    <t>Internal meetings; Tu Manawa hui</t>
  </si>
  <si>
    <t>accommodation (1 night)</t>
  </si>
  <si>
    <t>Officials mtg; Internal meetings</t>
  </si>
  <si>
    <t>Parking Akld Airport</t>
  </si>
  <si>
    <t>Parking</t>
  </si>
  <si>
    <t>15-17 May 2025</t>
  </si>
  <si>
    <t>Meeting with Sport Canterbury; HPSNZ staff; site visit Parakiore; Black Ferns test</t>
  </si>
  <si>
    <t>Accommodation x 2 (195/night)</t>
  </si>
  <si>
    <t>Chch</t>
  </si>
  <si>
    <t>Rental car (2 days)</t>
  </si>
  <si>
    <t>20-22 May 2025</t>
  </si>
  <si>
    <t>Internal meetings &amp; Taumata board mtg; IPC President visit</t>
  </si>
  <si>
    <t>Internal meetings &amp; Taumata board mtg; IPC Prsident visit</t>
  </si>
  <si>
    <t>26-29 May 2025</t>
  </si>
  <si>
    <t>Internal meetings; Sport NZ Board meeting w Minister; NZ Sports Fdn mtg;</t>
  </si>
  <si>
    <t>Travel service fee</t>
  </si>
  <si>
    <t>3-5 June 2025</t>
  </si>
  <si>
    <t>Internal meetings; mtg with Minister;</t>
  </si>
  <si>
    <t>Airfare + change fee</t>
  </si>
  <si>
    <t>Internal meetings; mtg with Minister; speaking engagement MCH</t>
  </si>
  <si>
    <t>taxis</t>
  </si>
  <si>
    <t>Ūber service fee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</si>
  <si>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</si>
  <si>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</si>
  <si>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</si>
  <si>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</si>
  <si>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Rugby test, Eden Park</t>
  </si>
  <si>
    <t>HPSNZ SLT offsite meeting and team dinner</t>
  </si>
  <si>
    <t>Meetings in Akld CBD</t>
  </si>
  <si>
    <t>Attending launch of Olympic Foundation</t>
  </si>
  <si>
    <t>Attending NZOC Gala dinner</t>
  </si>
  <si>
    <t>Halberg Awards</t>
  </si>
  <si>
    <t>Meetings with various stakeholders in Akld CBD</t>
  </si>
  <si>
    <t>Ubers x2</t>
  </si>
  <si>
    <t>Attending HP Summit; mtgs in Akld</t>
  </si>
  <si>
    <t>Attending Aupiki Final</t>
  </si>
  <si>
    <t>Parking in Akld, IRN meeting</t>
  </si>
  <si>
    <t>Parking in Akld for HP SLT offsite meeting</t>
  </si>
  <si>
    <t>Meetings in Akld before going to Chch</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</si>
  <si>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</si>
  <si>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</si>
  <si>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</si>
  <si>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</si>
  <si>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</si>
  <si>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</si>
  <si>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</si>
  <si>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</si>
  <si>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</si>
  <si>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</si>
  <si>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</si>
  <si>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</si>
  <si>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</si>
  <si>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Sport Canterbury</t>
  </si>
  <si>
    <t>Breakfast, 2 pax</t>
  </si>
  <si>
    <t>Meeting with Netball NZ</t>
  </si>
  <si>
    <t>Meeting with new Rowing NZ CEO</t>
  </si>
  <si>
    <t>Lunch, 2 pax</t>
  </si>
  <si>
    <t>Meeting with Waterpolo NZ</t>
  </si>
  <si>
    <t xml:space="preserve">Meeting with NZRL </t>
  </si>
  <si>
    <t>Dinner, 18 pax</t>
  </si>
  <si>
    <t>Meeting with Basketball NZ</t>
  </si>
  <si>
    <t>Meeting with Athletics NZ</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</si>
  <si>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</si>
  <si>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</si>
  <si>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</si>
  <si>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</si>
  <si>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</si>
  <si>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</si>
  <si>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</si>
  <si>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</si>
  <si>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</si>
  <si>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</si>
  <si>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</si>
  <si>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</si>
  <si>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</si>
  <si>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</si>
  <si>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</si>
  <si>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</si>
  <si>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</si>
  <si>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</si>
  <si>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</si>
  <si>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</si>
  <si>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</si>
  <si>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Ticket and hosting All Blacks v England, Eden Park</t>
  </si>
  <si>
    <t>NZ Rugby</t>
  </si>
  <si>
    <t>Ticket Silver Ferns v England, Auckland</t>
  </si>
  <si>
    <t>Netball NZ</t>
  </si>
  <si>
    <t>Ticket and hosting Silver Ferns v England Roses, Wgtn</t>
  </si>
  <si>
    <t>Ticket All Whites v Malaysia (friendly)</t>
  </si>
  <si>
    <t>NZ Football</t>
  </si>
  <si>
    <t>Ticket and hosting at Auckland FC v Brisbane Roar</t>
  </si>
  <si>
    <t>Auckland FC</t>
  </si>
  <si>
    <t>Ticket and hosting, Sliver Ferns v Australia, Auckland</t>
  </si>
  <si>
    <t>Ticket and hosting, Tall Blacks v Phillipines</t>
  </si>
  <si>
    <t>Basketball NZ</t>
  </si>
  <si>
    <t>Guest speaker, Wellington Women's Refuge dinner</t>
  </si>
  <si>
    <t>Wgtn Women's Refuge</t>
  </si>
  <si>
    <t>Ticket and hosting, T20 Women &amp; Men</t>
  </si>
  <si>
    <t>NZ Cricket</t>
  </si>
  <si>
    <t>Ticket and hosting, Blues Double Header Eden Park</t>
  </si>
  <si>
    <t>Blues Ltd</t>
  </si>
  <si>
    <t>Ticket and hosting, Akld FC v Perth Glory</t>
  </si>
  <si>
    <t>Ticket and hosting, Black Ferns v Canada</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</si>
  <si>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</si>
  <si>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</si>
  <si>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</si>
  <si>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</si>
  <si>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</si>
  <si>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</si>
  <si>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Paris</t>
  </si>
  <si>
    <t>Transport between olympic events x6</t>
  </si>
  <si>
    <t>Meeting with International Representatives Network for Sport</t>
  </si>
  <si>
    <t>Travel within Paris to Olympic events and associated international meetings</t>
  </si>
  <si>
    <t>Event tickets</t>
  </si>
  <si>
    <t>GM Corporate Services</t>
  </si>
  <si>
    <t>Meeting with International Network of Sports Councils (Lon)</t>
  </si>
  <si>
    <t>Getting to meetings, train stations in London</t>
  </si>
  <si>
    <t>Ticket and hosting Silver Ferns v England Roses, 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</si>
</sst>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
      <sz val="12"/>
      <color theme="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41" fillId="0" borderId="0"/>
  </cellStyleXfs>
  <cellXfs count="16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0" fontId="0" fillId="10" borderId="0" xfId="0" applyFill="1" applyProtection="1">
      <protection locked="0"/>
    </xf>
    <xf numFmtId="167" fontId="15" fillId="10" borderId="3" xfId="0" applyNumberFormat="1" applyFont="1" applyFill="1" applyBorder="1" applyAlignment="1" applyProtection="1">
      <alignment horizontal="right" vertical="center"/>
      <protection locked="0"/>
    </xf>
    <xf numFmtId="164" fontId="15" fillId="0" borderId="4" xfId="0" applyNumberFormat="1" applyFont="1" applyBorder="1" applyAlignment="1" applyProtection="1">
      <alignment vertical="center" wrapText="1"/>
      <protection locked="0"/>
    </xf>
    <xf numFmtId="167" fontId="39" fillId="10" borderId="3" xfId="0" applyNumberFormat="1" applyFont="1" applyFill="1" applyBorder="1" applyAlignment="1" applyProtection="1">
      <alignment horizontal="left" vertical="center"/>
      <protection locked="0"/>
    </xf>
    <xf numFmtId="0" fontId="39" fillId="10" borderId="4" xfId="0" applyFont="1" applyFill="1" applyBorder="1" applyAlignment="1" applyProtection="1">
      <alignment vertical="center" wrapText="1"/>
      <protection locked="0"/>
    </xf>
    <xf numFmtId="0" fontId="39" fillId="10" borderId="5" xfId="0" applyFont="1" applyFill="1" applyBorder="1" applyAlignment="1" applyProtection="1">
      <alignment vertical="center" wrapText="1"/>
      <protection locked="0"/>
    </xf>
    <xf numFmtId="0" fontId="15" fillId="0" borderId="0" xfId="0" applyFont="1" applyProtection="1">
      <protection locked="0"/>
    </xf>
    <xf numFmtId="0" fontId="15" fillId="10" borderId="0" xfId="0" applyFont="1" applyFill="1" applyProtection="1">
      <protection locked="0"/>
    </xf>
    <xf numFmtId="164" fontId="15" fillId="0" borderId="9" xfId="0" applyNumberFormat="1" applyFont="1" applyBorder="1" applyAlignment="1" applyProtection="1">
      <alignment vertical="center" wrapText="1"/>
      <protection locked="0"/>
    </xf>
    <xf numFmtId="164" fontId="0" fillId="0" borderId="0" xfId="0" applyNumberFormat="1" applyAlignment="1">
      <alignment wrapText="1"/>
    </xf>
    <xf numFmtId="164" fontId="20" fillId="3" borderId="0" xfId="0" applyNumberFormat="1" applyFont="1" applyFill="1" applyAlignment="1">
      <alignment vertical="center"/>
    </xf>
    <xf numFmtId="164" fontId="19" fillId="3" borderId="0" xfId="0" applyNumberFormat="1" applyFont="1" applyFill="1" applyAlignment="1">
      <alignment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6" xfId="0" applyFont="1" applyFill="1" applyBorder="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33" fillId="3"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Hyperlink" xfId="1" builtinId="8"/>
    <cellStyle name="Normal" xfId="0" builtinId="0"/>
    <cellStyle name="Normal 2" xfId="3" xr:uid="{1DC3D3C9-22F7-46BE-806B-0E46363EA376}"/>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1" sqref="A11"/>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0" t="s">
        <v>1</v>
      </c>
    </row>
    <row r="3" spans="1:2" ht="17.25" customHeight="1" x14ac:dyDescent="0.3"/>
    <row r="4" spans="1:2" ht="23.25" customHeight="1" x14ac:dyDescent="0.3">
      <c r="A4" s="124"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7"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3"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26" t="s">
        <v>46</v>
      </c>
    </row>
    <row r="55" spans="1:1" ht="17.25" customHeight="1" x14ac:dyDescent="0.3">
      <c r="A55" s="50" t="s">
        <v>47</v>
      </c>
    </row>
    <row r="56" spans="1:1" ht="17.25" customHeight="1" x14ac:dyDescent="0.3">
      <c r="A56" s="51" t="s">
        <v>48</v>
      </c>
    </row>
    <row r="57" spans="1:1" ht="17.25" customHeight="1" x14ac:dyDescent="0.3">
      <c r="A57" s="63" t="s">
        <v>49</v>
      </c>
    </row>
    <row r="58" spans="1:1" ht="17.25" customHeight="1" x14ac:dyDescent="0.3">
      <c r="A58" s="125"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43" t="s">
        <v>51</v>
      </c>
      <c r="B1" s="143"/>
      <c r="C1" s="143"/>
      <c r="D1" s="143"/>
      <c r="E1" s="143"/>
      <c r="F1" s="143"/>
      <c r="G1" s="17"/>
      <c r="H1" s="17"/>
      <c r="I1" s="17"/>
      <c r="J1" s="17"/>
      <c r="K1" s="17"/>
    </row>
    <row r="2" spans="1:11" ht="21" customHeight="1" x14ac:dyDescent="0.25">
      <c r="A2" s="3" t="s">
        <v>52</v>
      </c>
      <c r="B2" s="144" t="s">
        <v>53</v>
      </c>
      <c r="C2" s="144"/>
      <c r="D2" s="144"/>
      <c r="E2" s="144"/>
      <c r="F2" s="144"/>
      <c r="G2" s="17"/>
      <c r="H2" s="17"/>
      <c r="I2" s="17"/>
      <c r="J2" s="17"/>
      <c r="K2" s="17"/>
    </row>
    <row r="3" spans="1:11" ht="15.5" x14ac:dyDescent="0.25">
      <c r="A3" s="3" t="s">
        <v>54</v>
      </c>
      <c r="B3" s="144" t="s">
        <v>55</v>
      </c>
      <c r="C3" s="144"/>
      <c r="D3" s="144"/>
      <c r="E3" s="144"/>
      <c r="F3" s="144"/>
      <c r="G3" s="17"/>
      <c r="H3" s="17"/>
      <c r="I3" s="17"/>
      <c r="J3" s="17"/>
      <c r="K3" s="17"/>
    </row>
    <row r="4" spans="1:11" ht="21" customHeight="1" x14ac:dyDescent="0.25">
      <c r="A4" s="3" t="s">
        <v>56</v>
      </c>
      <c r="B4" s="145">
        <v>45474</v>
      </c>
      <c r="C4" s="145"/>
      <c r="D4" s="145"/>
      <c r="E4" s="145"/>
      <c r="F4" s="145"/>
      <c r="G4" s="17"/>
      <c r="H4" s="17"/>
      <c r="I4" s="17"/>
      <c r="J4" s="17"/>
      <c r="K4" s="17"/>
    </row>
    <row r="5" spans="1:11" ht="21" customHeight="1" x14ac:dyDescent="0.25">
      <c r="A5" s="3" t="s">
        <v>57</v>
      </c>
      <c r="B5" s="145">
        <v>45838</v>
      </c>
      <c r="C5" s="145"/>
      <c r="D5" s="145"/>
      <c r="E5" s="145"/>
      <c r="F5" s="145"/>
      <c r="G5" s="17"/>
      <c r="H5" s="17"/>
      <c r="I5" s="17"/>
      <c r="J5" s="17"/>
      <c r="K5" s="17"/>
    </row>
    <row r="6" spans="1:11" ht="21" customHeight="1" x14ac:dyDescent="0.25">
      <c r="A6" s="3" t="s">
        <v>58</v>
      </c>
      <c r="B6" s="142" t="str">
        <f>IF(AND(Travel!B7&lt;&gt;A30,Hospitality!B7&lt;&gt;A30,'All other expenses'!B7&lt;&gt;A30,'Gifts and benefits'!B7&lt;&gt;A30),A31,IF(AND(Travel!B7=A30,Hospitality!B7=A30,'All other expenses'!B7=A30,'Gifts and benefits'!B7=A30),A33,A32))</f>
        <v>Data and totals checked on all sheets</v>
      </c>
      <c r="C6" s="142"/>
      <c r="D6" s="142"/>
      <c r="E6" s="142"/>
      <c r="F6" s="142"/>
      <c r="G6" s="23"/>
      <c r="H6" s="17"/>
      <c r="I6" s="17"/>
      <c r="J6" s="17"/>
      <c r="K6" s="17"/>
    </row>
    <row r="7" spans="1:11" ht="31" x14ac:dyDescent="0.25">
      <c r="A7" s="3" t="s">
        <v>59</v>
      </c>
      <c r="B7" s="141" t="s">
        <v>92</v>
      </c>
      <c r="C7" s="141"/>
      <c r="D7" s="141"/>
      <c r="E7" s="141"/>
      <c r="F7" s="141"/>
      <c r="G7" s="23"/>
      <c r="H7" s="17"/>
      <c r="I7" s="17"/>
      <c r="J7" s="17"/>
      <c r="K7" s="17"/>
    </row>
    <row r="8" spans="1:11" ht="25.5" customHeight="1" x14ac:dyDescent="0.25">
      <c r="A8" s="3" t="s">
        <v>61</v>
      </c>
      <c r="B8" s="141" t="s">
        <v>448</v>
      </c>
      <c r="C8" s="141"/>
      <c r="D8" s="141"/>
      <c r="E8" s="141"/>
      <c r="F8" s="141"/>
      <c r="G8" s="23"/>
      <c r="H8" s="17"/>
      <c r="I8" s="17"/>
      <c r="J8" s="17"/>
      <c r="K8" s="17"/>
    </row>
    <row r="9" spans="1:11" ht="66.75" customHeight="1" x14ac:dyDescent="0.25">
      <c r="A9" s="140" t="s">
        <v>63</v>
      </c>
      <c r="B9" s="140"/>
      <c r="C9" s="140"/>
      <c r="D9" s="140"/>
      <c r="E9" s="140"/>
      <c r="F9" s="140"/>
      <c r="G9" s="23"/>
      <c r="H9" s="17"/>
      <c r="I9" s="17"/>
      <c r="J9" s="17"/>
      <c r="K9" s="17"/>
    </row>
    <row r="10" spans="1:11" s="90" customFormat="1" ht="36" customHeight="1" x14ac:dyDescent="0.3">
      <c r="A10" s="84" t="s">
        <v>64</v>
      </c>
      <c r="B10" s="85" t="s">
        <v>65</v>
      </c>
      <c r="C10" s="85" t="s">
        <v>66</v>
      </c>
      <c r="D10" s="86"/>
      <c r="E10" s="87" t="s">
        <v>29</v>
      </c>
      <c r="F10" s="88" t="s">
        <v>67</v>
      </c>
      <c r="G10" s="89"/>
      <c r="H10" s="89"/>
      <c r="I10" s="89"/>
      <c r="J10" s="89"/>
      <c r="K10" s="89"/>
    </row>
    <row r="11" spans="1:11" ht="27.75" customHeight="1" x14ac:dyDescent="0.35">
      <c r="A11" s="8" t="s">
        <v>68</v>
      </c>
      <c r="B11" s="57">
        <f>B15+B16+B17</f>
        <v>94812.519576587816</v>
      </c>
      <c r="C11" s="64" t="str">
        <f>IF(Travel!B6="",A34,Travel!B6)</f>
        <v>Figures exclude GST</v>
      </c>
      <c r="D11" s="6"/>
      <c r="E11" s="8" t="s">
        <v>69</v>
      </c>
      <c r="F11" s="33">
        <f>'Gifts and benefits'!C27</f>
        <v>13</v>
      </c>
      <c r="G11" s="29"/>
      <c r="H11" s="29"/>
      <c r="I11" s="29"/>
      <c r="J11" s="29"/>
      <c r="K11" s="29"/>
    </row>
    <row r="12" spans="1:11" ht="27.75" customHeight="1" x14ac:dyDescent="0.35">
      <c r="A12" s="8" t="s">
        <v>24</v>
      </c>
      <c r="B12" s="57">
        <f>Hospitality!B21</f>
        <v>702.76</v>
      </c>
      <c r="C12" s="64" t="str">
        <f>IF(Hospitality!B6="",A34,Hospitality!B6)</f>
        <v>Figures exclude GST</v>
      </c>
      <c r="D12" s="6"/>
      <c r="E12" s="8" t="s">
        <v>70</v>
      </c>
      <c r="F12" s="33">
        <f>'Gifts and benefits'!C28</f>
        <v>12</v>
      </c>
      <c r="G12" s="29"/>
      <c r="H12" s="29"/>
      <c r="I12" s="29"/>
      <c r="J12" s="29"/>
      <c r="K12" s="29"/>
    </row>
    <row r="13" spans="1:11" ht="27.75" customHeight="1" x14ac:dyDescent="0.25">
      <c r="A13" s="8" t="s">
        <v>71</v>
      </c>
      <c r="B13" s="57">
        <f>'All other expenses'!B25</f>
        <v>0</v>
      </c>
      <c r="C13" s="64" t="str">
        <f>IF('All other expenses'!B6="",A34,'All other expenses'!B6)</f>
        <v>Figures exclude GST</v>
      </c>
      <c r="D13" s="6"/>
      <c r="E13" s="8" t="s">
        <v>72</v>
      </c>
      <c r="F13" s="33">
        <f>'Gifts and benefits'!C29</f>
        <v>1</v>
      </c>
      <c r="G13" s="17"/>
      <c r="H13" s="17"/>
      <c r="I13" s="17"/>
      <c r="J13" s="17"/>
      <c r="K13" s="17"/>
    </row>
    <row r="14" spans="1:11" ht="12.75" customHeight="1" x14ac:dyDescent="0.25">
      <c r="A14" s="7"/>
      <c r="B14" s="58"/>
      <c r="C14" s="65"/>
      <c r="D14" s="34"/>
      <c r="E14" s="6"/>
      <c r="F14" s="35"/>
      <c r="G14" s="17"/>
      <c r="H14" s="17"/>
      <c r="I14" s="17"/>
      <c r="J14" s="17"/>
      <c r="K14" s="17"/>
    </row>
    <row r="15" spans="1:11" ht="27.75" customHeight="1" x14ac:dyDescent="0.25">
      <c r="A15" s="9" t="s">
        <v>73</v>
      </c>
      <c r="B15" s="59">
        <f>Travel!B31</f>
        <v>50602.879576587795</v>
      </c>
      <c r="C15" s="66" t="str">
        <f>C11</f>
        <v>Figures exclude GST</v>
      </c>
      <c r="D15" s="6"/>
      <c r="E15" s="6"/>
      <c r="F15" s="35"/>
      <c r="G15" s="17"/>
      <c r="H15" s="17"/>
      <c r="I15" s="17"/>
      <c r="J15" s="17"/>
      <c r="K15" s="17"/>
    </row>
    <row r="16" spans="1:11" ht="27.75" customHeight="1" x14ac:dyDescent="0.25">
      <c r="A16" s="9" t="s">
        <v>74</v>
      </c>
      <c r="B16" s="59">
        <f>Travel!B245</f>
        <v>43910.190000000017</v>
      </c>
      <c r="C16" s="66" t="str">
        <f>C11</f>
        <v>Figures exclude GST</v>
      </c>
      <c r="D16" s="36"/>
      <c r="E16" s="6"/>
      <c r="F16" s="37"/>
      <c r="G16" s="17"/>
      <c r="H16" s="17"/>
      <c r="I16" s="17"/>
      <c r="J16" s="17"/>
      <c r="K16" s="17"/>
    </row>
    <row r="17" spans="1:11" ht="27.75" customHeight="1" x14ac:dyDescent="0.25">
      <c r="A17" s="9" t="s">
        <v>75</v>
      </c>
      <c r="B17" s="59">
        <f>Travel!B264</f>
        <v>299.45</v>
      </c>
      <c r="C17" s="66" t="str">
        <f>C11</f>
        <v>Figures exclude GST</v>
      </c>
      <c r="D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76</v>
      </c>
      <c r="B19" s="19"/>
      <c r="C19" s="17"/>
      <c r="D19" s="17"/>
      <c r="E19" s="17"/>
      <c r="F19" s="17"/>
      <c r="G19" s="17"/>
      <c r="H19" s="17"/>
      <c r="I19" s="17"/>
      <c r="J19" s="17"/>
      <c r="K19" s="17"/>
    </row>
    <row r="20" spans="1:11" x14ac:dyDescent="0.25">
      <c r="A20" s="20" t="s">
        <v>77</v>
      </c>
      <c r="D20" s="17"/>
      <c r="E20" s="17"/>
      <c r="F20" s="17"/>
      <c r="G20" s="17"/>
      <c r="H20" s="17"/>
      <c r="I20" s="17"/>
      <c r="J20" s="17"/>
      <c r="K20" s="17"/>
    </row>
    <row r="21" spans="1:11" ht="12.75" customHeight="1" x14ac:dyDescent="0.25">
      <c r="A21" s="20" t="s">
        <v>78</v>
      </c>
      <c r="D21" s="17"/>
      <c r="E21" s="17"/>
      <c r="F21" s="17"/>
      <c r="G21" s="17"/>
      <c r="H21" s="17"/>
      <c r="I21" s="17"/>
      <c r="J21" s="17"/>
      <c r="K21" s="17"/>
    </row>
    <row r="22" spans="1:11" ht="12.75" customHeight="1" x14ac:dyDescent="0.25">
      <c r="A22" s="20" t="s">
        <v>79</v>
      </c>
      <c r="D22" s="17"/>
      <c r="E22" s="17"/>
      <c r="F22" s="17"/>
      <c r="G22" s="17"/>
      <c r="H22" s="17"/>
      <c r="I22" s="17"/>
      <c r="J22" s="17"/>
      <c r="K22" s="17"/>
    </row>
    <row r="23" spans="1:11" ht="12.75" customHeight="1" x14ac:dyDescent="0.25">
      <c r="A23" s="20" t="s">
        <v>80</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81</v>
      </c>
      <c r="B25" s="13"/>
      <c r="C25" s="13"/>
      <c r="D25" s="13"/>
      <c r="E25" s="13"/>
      <c r="F25" s="13"/>
      <c r="G25" s="17"/>
      <c r="H25" s="17"/>
      <c r="I25" s="17"/>
      <c r="J25" s="17"/>
      <c r="K25" s="17"/>
    </row>
    <row r="26" spans="1:11" ht="12.75" hidden="1" customHeight="1" x14ac:dyDescent="0.25">
      <c r="A26" s="11" t="s">
        <v>82</v>
      </c>
      <c r="B26" s="4"/>
      <c r="C26" s="4"/>
      <c r="D26" s="11"/>
      <c r="E26" s="11"/>
      <c r="F26" s="11"/>
      <c r="G26" s="17"/>
      <c r="H26" s="17"/>
      <c r="I26" s="17"/>
      <c r="J26" s="17"/>
      <c r="K26" s="17"/>
    </row>
    <row r="27" spans="1:11" hidden="1" x14ac:dyDescent="0.25">
      <c r="A27" s="10" t="s">
        <v>83</v>
      </c>
      <c r="B27" s="10"/>
      <c r="C27" s="10"/>
      <c r="D27" s="10"/>
      <c r="E27" s="10"/>
      <c r="F27" s="10"/>
      <c r="G27" s="17"/>
      <c r="H27" s="17"/>
      <c r="I27" s="17"/>
      <c r="J27" s="17"/>
      <c r="K27" s="17"/>
    </row>
    <row r="28" spans="1:11" hidden="1" x14ac:dyDescent="0.25">
      <c r="A28" s="10" t="s">
        <v>84</v>
      </c>
      <c r="B28" s="10"/>
      <c r="C28" s="10"/>
      <c r="D28" s="10"/>
      <c r="E28" s="10"/>
      <c r="F28" s="10"/>
      <c r="G28" s="17"/>
      <c r="H28" s="17"/>
      <c r="I28" s="17"/>
      <c r="J28" s="17"/>
      <c r="K28" s="17"/>
    </row>
    <row r="29" spans="1:11" hidden="1" x14ac:dyDescent="0.25">
      <c r="A29" s="11" t="s">
        <v>85</v>
      </c>
      <c r="B29" s="11"/>
      <c r="C29" s="11"/>
      <c r="D29" s="11"/>
      <c r="E29" s="11"/>
      <c r="F29" s="11"/>
      <c r="G29" s="17"/>
      <c r="H29" s="17"/>
      <c r="I29" s="17"/>
      <c r="J29" s="17"/>
      <c r="K29" s="17"/>
    </row>
    <row r="30" spans="1:11" hidden="1" x14ac:dyDescent="0.25">
      <c r="A30" s="11" t="s">
        <v>86</v>
      </c>
      <c r="B30" s="11"/>
      <c r="C30" s="11"/>
      <c r="D30" s="11"/>
      <c r="E30" s="11"/>
      <c r="F30" s="11"/>
      <c r="G30" s="17"/>
      <c r="H30" s="17"/>
      <c r="I30" s="17"/>
      <c r="J30" s="17"/>
      <c r="K30" s="17"/>
    </row>
    <row r="31" spans="1:11" hidden="1" x14ac:dyDescent="0.25">
      <c r="A31" s="10" t="s">
        <v>87</v>
      </c>
      <c r="B31" s="10"/>
      <c r="C31" s="10"/>
      <c r="D31" s="10"/>
      <c r="E31" s="10"/>
      <c r="F31" s="10"/>
      <c r="G31" s="17"/>
      <c r="H31" s="17"/>
      <c r="I31" s="17"/>
      <c r="J31" s="17"/>
      <c r="K31" s="17"/>
    </row>
    <row r="32" spans="1:11" hidden="1" x14ac:dyDescent="0.25">
      <c r="A32" s="10" t="s">
        <v>88</v>
      </c>
      <c r="B32" s="10"/>
      <c r="C32" s="10"/>
      <c r="D32" s="10"/>
      <c r="E32" s="10"/>
      <c r="F32" s="10"/>
      <c r="G32" s="17"/>
      <c r="H32" s="17"/>
      <c r="I32" s="17"/>
      <c r="J32" s="17"/>
      <c r="K32" s="17"/>
    </row>
    <row r="33" spans="1:11" hidden="1" x14ac:dyDescent="0.25">
      <c r="A33" s="10" t="s">
        <v>89</v>
      </c>
      <c r="B33" s="10"/>
      <c r="C33" s="10"/>
      <c r="D33" s="10"/>
      <c r="E33" s="10"/>
      <c r="F33" s="10"/>
      <c r="G33" s="17"/>
      <c r="H33" s="17"/>
      <c r="I33" s="17"/>
      <c r="J33" s="17"/>
      <c r="K33" s="17"/>
    </row>
    <row r="34" spans="1:11" hidden="1" x14ac:dyDescent="0.25">
      <c r="A34" s="11" t="s">
        <v>90</v>
      </c>
      <c r="B34" s="11"/>
      <c r="C34" s="11"/>
      <c r="D34" s="11"/>
      <c r="E34" s="11"/>
      <c r="F34" s="11"/>
      <c r="G34" s="17"/>
      <c r="H34" s="17"/>
      <c r="I34" s="17"/>
      <c r="J34" s="17"/>
      <c r="K34" s="17"/>
    </row>
    <row r="35" spans="1:11" hidden="1" x14ac:dyDescent="0.25">
      <c r="A35" s="11" t="s">
        <v>91</v>
      </c>
      <c r="B35" s="11"/>
      <c r="C35" s="11"/>
      <c r="D35" s="11"/>
      <c r="E35" s="11"/>
      <c r="F35" s="11"/>
      <c r="G35" s="17"/>
      <c r="H35" s="17"/>
      <c r="I35" s="17"/>
      <c r="J35" s="17"/>
      <c r="K35" s="17"/>
    </row>
    <row r="36" spans="1:11" hidden="1" x14ac:dyDescent="0.25">
      <c r="A36" s="10" t="s">
        <v>60</v>
      </c>
      <c r="B36" s="61"/>
      <c r="C36" s="61"/>
      <c r="D36" s="61"/>
      <c r="E36" s="61"/>
      <c r="F36" s="61"/>
      <c r="G36" s="17"/>
      <c r="H36" s="17"/>
      <c r="I36" s="17"/>
      <c r="J36" s="17"/>
      <c r="K36" s="17"/>
    </row>
    <row r="37" spans="1:11" hidden="1" x14ac:dyDescent="0.25">
      <c r="A37" s="10" t="s">
        <v>92</v>
      </c>
      <c r="B37" s="61"/>
      <c r="C37" s="61"/>
      <c r="D37" s="61"/>
      <c r="E37" s="61"/>
      <c r="F37" s="61"/>
      <c r="G37" s="17"/>
      <c r="H37" s="17"/>
      <c r="I37" s="17"/>
      <c r="J37" s="17"/>
      <c r="K37" s="17"/>
    </row>
    <row r="38" spans="1:11" hidden="1" x14ac:dyDescent="0.25">
      <c r="A38" s="10" t="s">
        <v>62</v>
      </c>
      <c r="B38" s="61"/>
      <c r="C38" s="61"/>
      <c r="D38" s="61"/>
      <c r="E38" s="61"/>
      <c r="F38" s="61"/>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2" t="s">
        <v>99</v>
      </c>
      <c r="B45" s="61"/>
      <c r="C45" s="61"/>
      <c r="D45" s="61"/>
      <c r="E45" s="61"/>
      <c r="F45" s="61"/>
      <c r="G45" s="17"/>
      <c r="H45" s="17"/>
      <c r="I45" s="17"/>
      <c r="J45" s="17"/>
      <c r="K45" s="17"/>
    </row>
    <row r="46" spans="1:11" hidden="1" x14ac:dyDescent="0.25">
      <c r="A46" s="61" t="s">
        <v>100</v>
      </c>
      <c r="B46" s="61"/>
      <c r="C46" s="61"/>
      <c r="D46" s="61"/>
      <c r="E46" s="61"/>
      <c r="F46" s="61"/>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78" t="s">
        <v>101</v>
      </c>
      <c r="B48" s="61"/>
      <c r="C48" s="61"/>
      <c r="D48" s="61"/>
      <c r="E48" s="61"/>
      <c r="F48" s="61"/>
      <c r="G48" s="17"/>
      <c r="H48" s="17"/>
      <c r="I48" s="17"/>
      <c r="J48" s="17"/>
      <c r="K48" s="17"/>
    </row>
    <row r="49" spans="1:11" ht="25" hidden="1" x14ac:dyDescent="0.25">
      <c r="A49" s="78" t="s">
        <v>102</v>
      </c>
      <c r="B49" s="61"/>
      <c r="C49" s="61"/>
      <c r="D49" s="61"/>
      <c r="E49" s="61"/>
      <c r="F49" s="61"/>
      <c r="G49" s="17"/>
      <c r="H49" s="17"/>
      <c r="I49" s="17"/>
      <c r="J49" s="17"/>
      <c r="K49" s="17"/>
    </row>
    <row r="50" spans="1:11" ht="25" hidden="1" x14ac:dyDescent="0.25">
      <c r="A50" s="79" t="s">
        <v>103</v>
      </c>
      <c r="B50" s="4"/>
      <c r="C50" s="4"/>
      <c r="D50" s="4"/>
      <c r="E50" s="4"/>
      <c r="F50" s="4"/>
      <c r="G50" s="17"/>
      <c r="H50" s="17"/>
      <c r="I50" s="17"/>
      <c r="J50" s="17"/>
      <c r="K50" s="17"/>
    </row>
    <row r="51" spans="1:11" ht="25" hidden="1" x14ac:dyDescent="0.25">
      <c r="A51" s="79" t="s">
        <v>104</v>
      </c>
      <c r="B51" s="4"/>
      <c r="C51" s="4"/>
      <c r="D51" s="4"/>
      <c r="E51" s="4"/>
      <c r="F51" s="4"/>
      <c r="G51" s="17"/>
      <c r="H51" s="17"/>
      <c r="I51" s="17"/>
      <c r="J51" s="17"/>
      <c r="K51" s="17"/>
    </row>
    <row r="52" spans="1:11" ht="37.5" hidden="1" x14ac:dyDescent="0.3">
      <c r="A52" s="79" t="s">
        <v>105</v>
      </c>
      <c r="B52" s="71"/>
      <c r="C52" s="71"/>
      <c r="D52" s="71"/>
      <c r="E52" s="11"/>
      <c r="F52" s="11"/>
      <c r="G52" s="17"/>
      <c r="H52" s="17"/>
      <c r="I52" s="17"/>
      <c r="J52" s="17"/>
      <c r="K52" s="17"/>
    </row>
    <row r="53" spans="1:11" ht="13" hidden="1" x14ac:dyDescent="0.3">
      <c r="A53" s="76" t="s">
        <v>106</v>
      </c>
      <c r="B53" s="70"/>
      <c r="C53" s="70"/>
      <c r="D53" s="70"/>
      <c r="E53" s="10"/>
      <c r="F53" s="10" t="b">
        <v>1</v>
      </c>
      <c r="G53" s="17"/>
      <c r="H53" s="17"/>
      <c r="I53" s="17"/>
      <c r="J53" s="17"/>
      <c r="K53" s="17"/>
    </row>
    <row r="54" spans="1:11" ht="13" hidden="1" x14ac:dyDescent="0.3">
      <c r="A54" s="77" t="s">
        <v>107</v>
      </c>
      <c r="B54" s="76"/>
      <c r="C54" s="76"/>
      <c r="D54" s="76"/>
      <c r="E54" s="10"/>
      <c r="F54" s="10" t="b">
        <v>0</v>
      </c>
      <c r="G54" s="17"/>
      <c r="H54" s="17"/>
      <c r="I54" s="17"/>
      <c r="J54" s="17"/>
      <c r="K54" s="17"/>
    </row>
    <row r="55" spans="1:11" ht="13" hidden="1" x14ac:dyDescent="0.25">
      <c r="A55" s="80"/>
      <c r="B55" s="72">
        <f>COUNT(Travel!B12:B30)</f>
        <v>14</v>
      </c>
      <c r="C55" s="72"/>
      <c r="D55" s="72">
        <f>COUNTIF(Travel!D12:D30,"*")</f>
        <v>14</v>
      </c>
      <c r="E55" s="73"/>
      <c r="F55" s="73" t="b">
        <f>MIN(B55,D55)=MAX(B55,D55)</f>
        <v>1</v>
      </c>
      <c r="G55" s="17"/>
      <c r="H55" s="17"/>
      <c r="I55" s="17"/>
      <c r="J55" s="17"/>
      <c r="K55" s="17"/>
    </row>
    <row r="56" spans="1:11" ht="13" hidden="1" x14ac:dyDescent="0.25">
      <c r="A56" s="80" t="s">
        <v>108</v>
      </c>
      <c r="B56" s="72">
        <f>COUNT(Travel!B35:B244)</f>
        <v>154</v>
      </c>
      <c r="C56" s="72"/>
      <c r="D56" s="72">
        <f>COUNTIF(Travel!D35:D244,"*")</f>
        <v>140</v>
      </c>
      <c r="E56" s="73"/>
      <c r="F56" s="73" t="b">
        <f>MIN(B56,D56)=MAX(B56,D56)</f>
        <v>0</v>
      </c>
    </row>
    <row r="57" spans="1:11" ht="13" hidden="1" x14ac:dyDescent="0.3">
      <c r="A57" s="81"/>
      <c r="B57" s="72">
        <f>COUNT(Travel!B249:B263)</f>
        <v>12</v>
      </c>
      <c r="C57" s="72"/>
      <c r="D57" s="72">
        <f>COUNTIF(Travel!D249:D263,"*")</f>
        <v>12</v>
      </c>
      <c r="E57" s="73"/>
      <c r="F57" s="73" t="b">
        <f>MIN(B57,D57)=MAX(B57,D57)</f>
        <v>1</v>
      </c>
    </row>
    <row r="58" spans="1:11" ht="13" hidden="1" x14ac:dyDescent="0.3">
      <c r="A58" s="82" t="s">
        <v>109</v>
      </c>
      <c r="B58" s="74">
        <f>COUNT(Hospitality!B11:B20)</f>
        <v>8</v>
      </c>
      <c r="C58" s="74"/>
      <c r="D58" s="74">
        <f>COUNTIF(Hospitality!D11:D20,"*")</f>
        <v>8</v>
      </c>
      <c r="E58" s="75"/>
      <c r="F58" s="75" t="b">
        <f>MIN(B58,D58)=MAX(B58,D58)</f>
        <v>1</v>
      </c>
    </row>
    <row r="59" spans="1:11" ht="13" hidden="1" x14ac:dyDescent="0.3">
      <c r="A59" s="83" t="s">
        <v>110</v>
      </c>
      <c r="B59" s="73">
        <f>COUNT('All other expenses'!B11:B24)</f>
        <v>0</v>
      </c>
      <c r="C59" s="73"/>
      <c r="D59" s="73">
        <f>COUNTIF('All other expenses'!D11:D24,"*")</f>
        <v>0</v>
      </c>
      <c r="E59" s="73"/>
      <c r="F59" s="73" t="b">
        <f>MIN(B59,D59)=MAX(B59,D59)</f>
        <v>1</v>
      </c>
    </row>
    <row r="60" spans="1:11" ht="13" hidden="1" x14ac:dyDescent="0.3">
      <c r="A60" s="82" t="s">
        <v>111</v>
      </c>
      <c r="B60" s="74">
        <f>COUNTIF('Gifts and benefits'!B11:B26,"*")</f>
        <v>13</v>
      </c>
      <c r="C60" s="74">
        <f>COUNTIF('Gifts and benefits'!C11:C26,"*")</f>
        <v>13</v>
      </c>
      <c r="D60" s="74"/>
      <c r="E60" s="74">
        <f>COUNTA('Gifts and benefits'!E11:E26)</f>
        <v>13</v>
      </c>
      <c r="F60" s="75"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59"/>
  <sheetViews>
    <sheetView topLeftCell="A180" zoomScaleNormal="100" workbookViewId="0">
      <selection activeCell="F19" sqref="F19"/>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8" t="s">
        <v>112</v>
      </c>
      <c r="B1" s="148"/>
      <c r="C1" s="148"/>
      <c r="D1" s="148"/>
      <c r="E1" s="148"/>
      <c r="F1" s="17"/>
    </row>
    <row r="2" spans="1:6" ht="21" customHeight="1" x14ac:dyDescent="0.25">
      <c r="A2" s="3" t="s">
        <v>113</v>
      </c>
      <c r="B2" s="146" t="str">
        <f>'Summary and sign-off'!B2:F2</f>
        <v>Sport NZ</v>
      </c>
      <c r="C2" s="146"/>
      <c r="D2" s="146"/>
      <c r="E2" s="146"/>
      <c r="F2" s="17"/>
    </row>
    <row r="3" spans="1:6" ht="31.5" customHeight="1" x14ac:dyDescent="0.25">
      <c r="A3" s="3" t="s">
        <v>114</v>
      </c>
      <c r="B3" s="146" t="str">
        <f>'Summary and sign-off'!B3:F3</f>
        <v>Raelene Castle</v>
      </c>
      <c r="C3" s="146"/>
      <c r="D3" s="146"/>
      <c r="E3" s="146"/>
      <c r="F3" s="17"/>
    </row>
    <row r="4" spans="1:6" ht="21" customHeight="1" x14ac:dyDescent="0.25">
      <c r="A4" s="3" t="s">
        <v>115</v>
      </c>
      <c r="B4" s="146">
        <f>'Summary and sign-off'!B4:F4</f>
        <v>45474</v>
      </c>
      <c r="C4" s="146"/>
      <c r="D4" s="146"/>
      <c r="E4" s="146"/>
      <c r="F4" s="17"/>
    </row>
    <row r="5" spans="1:6" ht="21" customHeight="1" x14ac:dyDescent="0.25">
      <c r="A5" s="3" t="s">
        <v>116</v>
      </c>
      <c r="B5" s="146">
        <f>'Summary and sign-off'!B5:F5</f>
        <v>45838</v>
      </c>
      <c r="C5" s="146"/>
      <c r="D5" s="146"/>
      <c r="E5" s="146"/>
      <c r="F5" s="17"/>
    </row>
    <row r="6" spans="1:6" ht="21" customHeight="1" x14ac:dyDescent="0.25">
      <c r="A6" s="3" t="s">
        <v>117</v>
      </c>
      <c r="B6" s="141" t="s">
        <v>84</v>
      </c>
      <c r="C6" s="141"/>
      <c r="D6" s="141"/>
      <c r="E6" s="141"/>
      <c r="F6" s="17"/>
    </row>
    <row r="7" spans="1:6" ht="21" customHeight="1" x14ac:dyDescent="0.25">
      <c r="A7" s="3" t="s">
        <v>58</v>
      </c>
      <c r="B7" s="141" t="s">
        <v>86</v>
      </c>
      <c r="C7" s="141"/>
      <c r="D7" s="141"/>
      <c r="E7" s="141"/>
      <c r="F7" s="17"/>
    </row>
    <row r="8" spans="1:6" ht="36" customHeight="1" x14ac:dyDescent="0.3">
      <c r="A8" s="150" t="s">
        <v>118</v>
      </c>
      <c r="B8" s="151"/>
      <c r="C8" s="151"/>
      <c r="D8" s="151"/>
      <c r="E8" s="151"/>
      <c r="F8" s="19"/>
    </row>
    <row r="9" spans="1:6" ht="36" customHeight="1" x14ac:dyDescent="0.3">
      <c r="A9" s="152" t="s">
        <v>119</v>
      </c>
      <c r="B9" s="153"/>
      <c r="C9" s="153"/>
      <c r="D9" s="153"/>
      <c r="E9" s="153"/>
      <c r="F9" s="19"/>
    </row>
    <row r="10" spans="1:6" ht="24.75" customHeight="1" x14ac:dyDescent="0.35">
      <c r="A10" s="149" t="s">
        <v>120</v>
      </c>
      <c r="B10" s="149"/>
      <c r="C10" s="149"/>
      <c r="D10" s="149"/>
      <c r="E10" s="149"/>
      <c r="F10" s="29"/>
    </row>
    <row r="11" spans="1:6" ht="28.5" customHeight="1" x14ac:dyDescent="0.25">
      <c r="A11" s="24" t="s">
        <v>121</v>
      </c>
      <c r="B11" s="24" t="s">
        <v>122</v>
      </c>
      <c r="C11" s="24" t="s">
        <v>123</v>
      </c>
      <c r="D11" s="24" t="s">
        <v>124</v>
      </c>
      <c r="E11" s="24" t="s">
        <v>125</v>
      </c>
      <c r="F11" s="30"/>
    </row>
    <row r="12" spans="1:6" s="128" customFormat="1" ht="25.5" customHeight="1" x14ac:dyDescent="0.25">
      <c r="A12" s="112" t="s">
        <v>126</v>
      </c>
      <c r="B12" s="113">
        <v>11453</v>
      </c>
      <c r="C12" s="114" t="s">
        <v>127</v>
      </c>
      <c r="D12" s="114" t="s">
        <v>128</v>
      </c>
      <c r="E12" s="115" t="s">
        <v>129</v>
      </c>
      <c r="F12" s="130"/>
    </row>
    <row r="13" spans="1:6" s="128" customFormat="1" ht="15.5" customHeight="1" x14ac:dyDescent="0.25">
      <c r="A13" s="112" t="s">
        <v>126</v>
      </c>
      <c r="B13" s="113">
        <v>4127.272727272727</v>
      </c>
      <c r="C13" s="114" t="s">
        <v>446</v>
      </c>
      <c r="D13" s="114" t="s">
        <v>447</v>
      </c>
      <c r="E13" s="115" t="s">
        <v>443</v>
      </c>
      <c r="F13" s="130"/>
    </row>
    <row r="14" spans="1:6" s="128" customFormat="1" ht="25.5" customHeight="1" x14ac:dyDescent="0.25">
      <c r="A14" s="112" t="s">
        <v>126</v>
      </c>
      <c r="B14" s="113">
        <v>1159</v>
      </c>
      <c r="C14" s="114" t="s">
        <v>127</v>
      </c>
      <c r="D14" s="114" t="s">
        <v>130</v>
      </c>
      <c r="E14" s="115" t="s">
        <v>131</v>
      </c>
      <c r="F14" s="130"/>
    </row>
    <row r="15" spans="1:6" s="128" customFormat="1" ht="17" customHeight="1" x14ac:dyDescent="0.25">
      <c r="A15" s="112" t="s">
        <v>126</v>
      </c>
      <c r="B15" s="113">
        <v>3928.5068493150684</v>
      </c>
      <c r="C15" s="114" t="s">
        <v>446</v>
      </c>
      <c r="D15" s="114" t="s">
        <v>444</v>
      </c>
      <c r="E15" s="115" t="s">
        <v>443</v>
      </c>
      <c r="F15" s="130"/>
    </row>
    <row r="16" spans="1:6" s="128" customFormat="1" ht="25.5" customHeight="1" x14ac:dyDescent="0.25">
      <c r="A16" s="112" t="s">
        <v>126</v>
      </c>
      <c r="B16" s="113">
        <f>(61.81+53.04+40.87+37.5+37.11+20.11+31.83+28.64+27.72+26.97+28.13+29+26.21+60.47+22.32+35.6+46.32+43.19+26.68+27.35+37.03+24.2+26.13+23.54+20.03+20.07+37.31+30.4+48.37+112.66+110)</f>
        <v>1200.6100000000001</v>
      </c>
      <c r="C16" s="114" t="s">
        <v>127</v>
      </c>
      <c r="D16" s="114" t="s">
        <v>132</v>
      </c>
      <c r="E16" s="115" t="s">
        <v>133</v>
      </c>
      <c r="F16" s="130"/>
    </row>
    <row r="17" spans="1:6" s="128" customFormat="1" ht="12.5" x14ac:dyDescent="0.25">
      <c r="A17" s="112" t="s">
        <v>134</v>
      </c>
      <c r="B17" s="113">
        <f>+(210+182+64)</f>
        <v>456</v>
      </c>
      <c r="C17" s="114" t="s">
        <v>450</v>
      </c>
      <c r="D17" s="114" t="s">
        <v>135</v>
      </c>
      <c r="E17" s="115" t="s">
        <v>136</v>
      </c>
      <c r="F17" s="130"/>
    </row>
    <row r="18" spans="1:6" s="128" customFormat="1" ht="12.5" x14ac:dyDescent="0.25">
      <c r="A18" s="112" t="s">
        <v>137</v>
      </c>
      <c r="B18" s="113">
        <v>985.5</v>
      </c>
      <c r="C18" s="114" t="s">
        <v>449</v>
      </c>
      <c r="D18" s="114" t="s">
        <v>138</v>
      </c>
      <c r="E18" s="115" t="s">
        <v>136</v>
      </c>
      <c r="F18" s="130"/>
    </row>
    <row r="19" spans="1:6" s="128" customFormat="1" ht="12.5" x14ac:dyDescent="0.25">
      <c r="A19" s="112" t="s">
        <v>126</v>
      </c>
      <c r="B19" s="113">
        <v>18498.98</v>
      </c>
      <c r="C19" s="114" t="s">
        <v>139</v>
      </c>
      <c r="D19" s="114" t="s">
        <v>140</v>
      </c>
      <c r="E19" s="115" t="s">
        <v>141</v>
      </c>
      <c r="F19" s="130"/>
    </row>
    <row r="20" spans="1:6" s="128" customFormat="1" ht="12.5" x14ac:dyDescent="0.25">
      <c r="A20" s="112"/>
      <c r="B20" s="113"/>
      <c r="C20" s="114"/>
      <c r="D20" s="114"/>
      <c r="E20" s="115"/>
      <c r="F20" s="130"/>
    </row>
    <row r="21" spans="1:6" s="2" customFormat="1" ht="12.5" x14ac:dyDescent="0.25">
      <c r="A21" s="112"/>
      <c r="B21" s="113"/>
      <c r="C21" s="114"/>
      <c r="D21" s="114"/>
      <c r="E21" s="115"/>
      <c r="F21" s="130"/>
    </row>
    <row r="22" spans="1:6" s="128" customFormat="1" ht="12.5" x14ac:dyDescent="0.25">
      <c r="A22" s="112" t="s">
        <v>142</v>
      </c>
      <c r="B22" s="113">
        <v>6181</v>
      </c>
      <c r="C22" s="114" t="s">
        <v>143</v>
      </c>
      <c r="D22" s="114" t="s">
        <v>144</v>
      </c>
      <c r="E22" s="115" t="s">
        <v>145</v>
      </c>
      <c r="F22" s="130"/>
    </row>
    <row r="23" spans="1:6" s="128" customFormat="1" ht="12.5" x14ac:dyDescent="0.25">
      <c r="A23" s="112" t="s">
        <v>147</v>
      </c>
      <c r="B23" s="113">
        <v>694</v>
      </c>
      <c r="C23" s="114" t="s">
        <v>148</v>
      </c>
      <c r="D23" s="114" t="s">
        <v>149</v>
      </c>
      <c r="E23" s="115" t="s">
        <v>150</v>
      </c>
      <c r="F23" s="130"/>
    </row>
    <row r="24" spans="1:6" s="128" customFormat="1" ht="12.5" x14ac:dyDescent="0.25">
      <c r="A24" s="112" t="s">
        <v>147</v>
      </c>
      <c r="B24" s="113">
        <v>136.24</v>
      </c>
      <c r="C24" s="114" t="s">
        <v>148</v>
      </c>
      <c r="D24" s="114" t="s">
        <v>151</v>
      </c>
      <c r="E24" s="115" t="s">
        <v>150</v>
      </c>
      <c r="F24" s="130"/>
    </row>
    <row r="25" spans="1:6" s="128" customFormat="1" ht="12.5" x14ac:dyDescent="0.25">
      <c r="A25" s="112" t="s">
        <v>152</v>
      </c>
      <c r="B25" s="113">
        <v>800</v>
      </c>
      <c r="C25" s="114" t="s">
        <v>153</v>
      </c>
      <c r="D25" s="114" t="s">
        <v>149</v>
      </c>
      <c r="E25" s="115" t="s">
        <v>136</v>
      </c>
      <c r="F25" s="130"/>
    </row>
    <row r="26" spans="1:6" s="128" customFormat="1" ht="12.5" x14ac:dyDescent="0.25">
      <c r="A26" s="112" t="s">
        <v>152</v>
      </c>
      <c r="B26" s="113">
        <f>(133.85+80.22+86.6+86.6+74.49+59.57+108.03+50.79+250.46)</f>
        <v>930.61</v>
      </c>
      <c r="C26" s="114" t="s">
        <v>154</v>
      </c>
      <c r="D26" s="114" t="s">
        <v>155</v>
      </c>
      <c r="E26" s="115" t="s">
        <v>136</v>
      </c>
      <c r="F26" s="130"/>
    </row>
    <row r="27" spans="1:6" s="128" customFormat="1" ht="12.5" x14ac:dyDescent="0.25">
      <c r="A27" s="127">
        <v>45844</v>
      </c>
      <c r="B27" s="113">
        <v>52.16</v>
      </c>
      <c r="C27" s="114" t="s">
        <v>156</v>
      </c>
      <c r="D27" s="114" t="s">
        <v>157</v>
      </c>
      <c r="E27" s="115" t="s">
        <v>158</v>
      </c>
      <c r="F27" s="130"/>
    </row>
    <row r="28" spans="1:6" s="2" customFormat="1" ht="12.5" x14ac:dyDescent="0.25">
      <c r="A28" s="112"/>
      <c r="B28" s="113"/>
      <c r="C28" s="114"/>
      <c r="D28" s="114"/>
      <c r="E28" s="115"/>
      <c r="F28" s="130"/>
    </row>
    <row r="29" spans="1:6" s="2" customFormat="1" ht="12.5" x14ac:dyDescent="0.25">
      <c r="A29" s="116"/>
      <c r="B29" s="113"/>
      <c r="C29" s="114"/>
      <c r="D29" s="114"/>
      <c r="E29" s="115"/>
      <c r="F29" s="130"/>
    </row>
    <row r="30" spans="1:6" s="2" customFormat="1" ht="12.75" hidden="1" customHeight="1" x14ac:dyDescent="0.25">
      <c r="A30" s="101"/>
      <c r="B30" s="136"/>
      <c r="C30" s="102"/>
      <c r="D30" s="102"/>
      <c r="E30" s="103"/>
      <c r="F30" s="1"/>
    </row>
    <row r="31" spans="1:6" ht="19.5" customHeight="1" x14ac:dyDescent="0.25">
      <c r="A31" s="69" t="s">
        <v>159</v>
      </c>
      <c r="B31" s="138">
        <f>SUM(B12:B30)</f>
        <v>50602.879576587795</v>
      </c>
      <c r="C31" s="123" t="str">
        <f>IF(SUBTOTAL(3,B12:B30)=SUBTOTAL(103,B12:B30),'Summary and sign-off'!$A$48,'Summary and sign-off'!$A$49)</f>
        <v>Check - there are no hidden rows with data</v>
      </c>
      <c r="D31" s="154" t="str">
        <f>IF('Summary and sign-off'!F55='Summary and sign-off'!F54,'Summary and sign-off'!A51,'Summary and sign-off'!A50)</f>
        <v>Check - each entry provides sufficient information</v>
      </c>
      <c r="E31" s="154"/>
      <c r="F31" s="17"/>
    </row>
    <row r="32" spans="1:6" ht="10.5" customHeight="1" x14ac:dyDescent="0.3">
      <c r="A32" s="17"/>
      <c r="B32" s="19"/>
      <c r="C32" s="17"/>
      <c r="D32" s="17"/>
      <c r="E32" s="17"/>
      <c r="F32" s="17"/>
    </row>
    <row r="33" spans="1:6" ht="24.75" customHeight="1" x14ac:dyDescent="0.35">
      <c r="A33" s="149" t="s">
        <v>160</v>
      </c>
      <c r="B33" s="149"/>
      <c r="C33" s="149"/>
      <c r="D33" s="149"/>
      <c r="E33" s="149"/>
      <c r="F33" s="29"/>
    </row>
    <row r="34" spans="1:6" ht="32.5" customHeight="1" x14ac:dyDescent="0.25">
      <c r="A34" s="24" t="s">
        <v>121</v>
      </c>
      <c r="B34" s="24" t="s">
        <v>65</v>
      </c>
      <c r="C34" s="24" t="s">
        <v>161</v>
      </c>
      <c r="D34" s="24" t="s">
        <v>124</v>
      </c>
      <c r="E34" s="24" t="s">
        <v>125</v>
      </c>
      <c r="F34" s="30"/>
    </row>
    <row r="35" spans="1:6" s="128" customFormat="1" ht="21" customHeight="1" x14ac:dyDescent="0.25">
      <c r="A35" s="112" t="s">
        <v>162</v>
      </c>
      <c r="B35" s="113">
        <v>614.89</v>
      </c>
      <c r="C35" s="114" t="s">
        <v>163</v>
      </c>
      <c r="D35" s="114" t="s">
        <v>164</v>
      </c>
      <c r="E35" s="115" t="s">
        <v>165</v>
      </c>
      <c r="F35" s="130"/>
    </row>
    <row r="36" spans="1:6" s="128" customFormat="1" ht="23.25" customHeight="1" x14ac:dyDescent="0.25">
      <c r="A36" s="112" t="s">
        <v>162</v>
      </c>
      <c r="B36" s="113">
        <v>130.53</v>
      </c>
      <c r="C36" s="114" t="s">
        <v>163</v>
      </c>
      <c r="D36" s="114" t="s">
        <v>166</v>
      </c>
      <c r="E36" s="115" t="s">
        <v>167</v>
      </c>
      <c r="F36" s="130"/>
    </row>
    <row r="37" spans="1:6" s="128" customFormat="1" ht="27" customHeight="1" x14ac:dyDescent="0.25">
      <c r="A37" s="112" t="s">
        <v>162</v>
      </c>
      <c r="B37" s="113">
        <v>195.65</v>
      </c>
      <c r="C37" s="114" t="s">
        <v>163</v>
      </c>
      <c r="D37" s="114" t="s">
        <v>168</v>
      </c>
      <c r="E37" s="115" t="s">
        <v>169</v>
      </c>
      <c r="F37" s="130"/>
    </row>
    <row r="38" spans="1:6" s="128" customFormat="1" ht="27" customHeight="1" x14ac:dyDescent="0.25">
      <c r="A38" s="112" t="s">
        <v>162</v>
      </c>
      <c r="B38" s="113">
        <v>226.09</v>
      </c>
      <c r="C38" s="114" t="s">
        <v>163</v>
      </c>
      <c r="D38" s="114" t="s">
        <v>168</v>
      </c>
      <c r="E38" s="115" t="s">
        <v>170</v>
      </c>
      <c r="F38" s="130"/>
    </row>
    <row r="39" spans="1:6" s="128" customFormat="1" ht="12.5" x14ac:dyDescent="0.25">
      <c r="A39" s="112"/>
      <c r="B39" s="113"/>
      <c r="C39" s="114"/>
      <c r="D39" s="114"/>
      <c r="E39" s="115"/>
      <c r="F39" s="130"/>
    </row>
    <row r="40" spans="1:6" s="128" customFormat="1" ht="12.5" x14ac:dyDescent="0.25">
      <c r="A40" s="112" t="s">
        <v>171</v>
      </c>
      <c r="B40" s="113">
        <v>361.02</v>
      </c>
      <c r="C40" s="114" t="s">
        <v>172</v>
      </c>
      <c r="D40" s="114" t="s">
        <v>173</v>
      </c>
      <c r="E40" s="115" t="s">
        <v>174</v>
      </c>
      <c r="F40" s="130"/>
    </row>
    <row r="41" spans="1:6" s="128" customFormat="1" ht="12.5" x14ac:dyDescent="0.25">
      <c r="A41" s="112" t="s">
        <v>171</v>
      </c>
      <c r="B41" s="113">
        <v>226.09</v>
      </c>
      <c r="C41" s="114" t="s">
        <v>172</v>
      </c>
      <c r="D41" s="114" t="s">
        <v>168</v>
      </c>
      <c r="E41" s="115" t="s">
        <v>170</v>
      </c>
      <c r="F41" s="130"/>
    </row>
    <row r="42" spans="1:6" s="128" customFormat="1" ht="12.5" x14ac:dyDescent="0.25">
      <c r="A42" s="112" t="s">
        <v>171</v>
      </c>
      <c r="B42" s="113">
        <v>130.28</v>
      </c>
      <c r="C42" s="114" t="s">
        <v>172</v>
      </c>
      <c r="D42" s="114" t="s">
        <v>175</v>
      </c>
      <c r="E42" s="115" t="s">
        <v>176</v>
      </c>
      <c r="F42" s="130"/>
    </row>
    <row r="43" spans="1:6" s="128" customFormat="1" ht="12.5" x14ac:dyDescent="0.25">
      <c r="A43" s="112"/>
      <c r="B43" s="113"/>
      <c r="C43" s="114"/>
      <c r="D43" s="114"/>
      <c r="E43" s="115"/>
      <c r="F43" s="130"/>
    </row>
    <row r="44" spans="1:6" s="128" customFormat="1" ht="12.5" x14ac:dyDescent="0.25">
      <c r="A44" s="127">
        <v>45504</v>
      </c>
      <c r="B44" s="113">
        <v>30.99</v>
      </c>
      <c r="C44" s="114" t="s">
        <v>177</v>
      </c>
      <c r="D44" s="114"/>
      <c r="E44" s="115"/>
      <c r="F44" s="130"/>
    </row>
    <row r="45" spans="1:6" s="128" customFormat="1" ht="12.5" x14ac:dyDescent="0.25">
      <c r="A45" s="112"/>
      <c r="B45" s="113"/>
      <c r="C45" s="114"/>
      <c r="D45" s="114"/>
      <c r="E45" s="115"/>
      <c r="F45" s="130"/>
    </row>
    <row r="46" spans="1:6" s="128" customFormat="1" ht="12.5" x14ac:dyDescent="0.25">
      <c r="A46" s="112" t="s">
        <v>178</v>
      </c>
      <c r="B46" s="113">
        <v>361.02</v>
      </c>
      <c r="C46" s="114" t="s">
        <v>179</v>
      </c>
      <c r="D46" s="114" t="s">
        <v>173</v>
      </c>
      <c r="E46" s="115" t="s">
        <v>174</v>
      </c>
      <c r="F46" s="130"/>
    </row>
    <row r="47" spans="1:6" s="128" customFormat="1" ht="12.5" x14ac:dyDescent="0.25">
      <c r="A47" s="112" t="s">
        <v>178</v>
      </c>
      <c r="B47" s="113">
        <v>203.11</v>
      </c>
      <c r="C47" s="114" t="s">
        <v>179</v>
      </c>
      <c r="D47" s="114" t="s">
        <v>166</v>
      </c>
      <c r="E47" s="115" t="s">
        <v>176</v>
      </c>
      <c r="F47" s="130"/>
    </row>
    <row r="48" spans="1:6" s="128" customFormat="1" ht="12.5" x14ac:dyDescent="0.25">
      <c r="A48" s="112" t="s">
        <v>178</v>
      </c>
      <c r="B48" s="113">
        <v>452.17</v>
      </c>
      <c r="C48" s="114" t="s">
        <v>179</v>
      </c>
      <c r="D48" s="114" t="s">
        <v>180</v>
      </c>
      <c r="E48" s="115" t="s">
        <v>181</v>
      </c>
      <c r="F48" s="130"/>
    </row>
    <row r="49" spans="1:6" s="128" customFormat="1" ht="16" customHeight="1" x14ac:dyDescent="0.25">
      <c r="A49" s="127"/>
      <c r="B49" s="113"/>
      <c r="C49" s="114"/>
      <c r="D49" s="114"/>
      <c r="E49" s="115"/>
      <c r="F49" s="130"/>
    </row>
    <row r="50" spans="1:6" s="128" customFormat="1" ht="15.75" customHeight="1" x14ac:dyDescent="0.25">
      <c r="A50" s="127" t="s">
        <v>182</v>
      </c>
      <c r="B50" s="113">
        <v>337.4</v>
      </c>
      <c r="C50" s="114" t="s">
        <v>183</v>
      </c>
      <c r="D50" s="114" t="s">
        <v>173</v>
      </c>
      <c r="E50" s="115" t="s">
        <v>174</v>
      </c>
      <c r="F50" s="130"/>
    </row>
    <row r="51" spans="1:6" s="128" customFormat="1" ht="15.75" customHeight="1" x14ac:dyDescent="0.25">
      <c r="A51" s="127" t="s">
        <v>182</v>
      </c>
      <c r="B51" s="113">
        <f>(50.38+27.55+21.24+51.64)</f>
        <v>150.81</v>
      </c>
      <c r="C51" s="128" t="s">
        <v>183</v>
      </c>
      <c r="D51" s="114" t="s">
        <v>184</v>
      </c>
      <c r="E51" s="115" t="s">
        <v>176</v>
      </c>
      <c r="F51" s="130"/>
    </row>
    <row r="52" spans="1:6" s="128" customFormat="1" ht="12.5" x14ac:dyDescent="0.25">
      <c r="A52" s="127" t="s">
        <v>182</v>
      </c>
      <c r="B52" s="113">
        <v>452.18</v>
      </c>
      <c r="C52" s="114" t="s">
        <v>183</v>
      </c>
      <c r="D52" s="114" t="s">
        <v>180</v>
      </c>
      <c r="E52" s="115" t="s">
        <v>170</v>
      </c>
      <c r="F52" s="130"/>
    </row>
    <row r="53" spans="1:6" s="128" customFormat="1" ht="12.5" x14ac:dyDescent="0.25">
      <c r="A53" s="127"/>
      <c r="B53" s="113"/>
      <c r="C53" s="114"/>
      <c r="D53" s="114"/>
      <c r="E53" s="115"/>
      <c r="F53" s="130"/>
    </row>
    <row r="54" spans="1:6" s="128" customFormat="1" ht="12.5" x14ac:dyDescent="0.25">
      <c r="A54" s="127">
        <v>45535</v>
      </c>
      <c r="B54" s="113">
        <f>(105.54+2+2+2)</f>
        <v>111.54</v>
      </c>
      <c r="C54" s="114" t="s">
        <v>185</v>
      </c>
      <c r="D54" s="114" t="s">
        <v>186</v>
      </c>
      <c r="E54" s="115"/>
      <c r="F54" s="130"/>
    </row>
    <row r="55" spans="1:6" s="128" customFormat="1" ht="12.5" x14ac:dyDescent="0.25">
      <c r="A55" s="112"/>
      <c r="B55" s="113"/>
      <c r="C55" s="114"/>
      <c r="D55" s="114"/>
      <c r="E55" s="115"/>
      <c r="F55" s="130"/>
    </row>
    <row r="56" spans="1:6" s="128" customFormat="1" ht="12.5" x14ac:dyDescent="0.25">
      <c r="A56" s="112" t="s">
        <v>187</v>
      </c>
      <c r="B56" s="113">
        <f>(81+450)</f>
        <v>531</v>
      </c>
      <c r="C56" s="114" t="s">
        <v>188</v>
      </c>
      <c r="D56" s="114" t="s">
        <v>164</v>
      </c>
      <c r="E56" s="115" t="s">
        <v>189</v>
      </c>
      <c r="F56" s="130"/>
    </row>
    <row r="57" spans="1:6" s="128" customFormat="1" ht="12.5" x14ac:dyDescent="0.25">
      <c r="A57" s="127">
        <v>45537</v>
      </c>
      <c r="B57" s="113">
        <v>173</v>
      </c>
      <c r="C57" s="114" t="s">
        <v>190</v>
      </c>
      <c r="D57" s="114" t="s">
        <v>191</v>
      </c>
      <c r="E57" s="115" t="s">
        <v>192</v>
      </c>
      <c r="F57" s="130"/>
    </row>
    <row r="58" spans="1:6" s="128" customFormat="1" ht="12.5" x14ac:dyDescent="0.25">
      <c r="A58" s="112" t="s">
        <v>187</v>
      </c>
      <c r="B58" s="113">
        <v>226.09</v>
      </c>
      <c r="C58" s="114" t="s">
        <v>193</v>
      </c>
      <c r="D58" s="114" t="s">
        <v>191</v>
      </c>
      <c r="E58" s="115" t="s">
        <v>170</v>
      </c>
      <c r="F58" s="130"/>
    </row>
    <row r="59" spans="1:6" s="128" customFormat="1" ht="12.5" x14ac:dyDescent="0.25">
      <c r="A59" s="112" t="s">
        <v>187</v>
      </c>
      <c r="B59" s="113">
        <v>63.17</v>
      </c>
      <c r="C59" s="114" t="s">
        <v>193</v>
      </c>
      <c r="D59" s="114" t="s">
        <v>194</v>
      </c>
      <c r="E59" s="115" t="s">
        <v>195</v>
      </c>
      <c r="F59" s="130"/>
    </row>
    <row r="60" spans="1:6" s="128" customFormat="1" ht="12.5" x14ac:dyDescent="0.25">
      <c r="A60" s="131"/>
      <c r="B60" s="113"/>
      <c r="C60" s="132"/>
      <c r="D60" s="132"/>
      <c r="E60" s="133"/>
      <c r="F60" s="130"/>
    </row>
    <row r="61" spans="1:6" s="135" customFormat="1" ht="12.5" x14ac:dyDescent="0.25">
      <c r="A61" s="127" t="s">
        <v>196</v>
      </c>
      <c r="B61" s="113">
        <f>(427+27)</f>
        <v>454</v>
      </c>
      <c r="C61" s="114" t="s">
        <v>197</v>
      </c>
      <c r="D61" s="114" t="s">
        <v>164</v>
      </c>
      <c r="E61" s="115" t="s">
        <v>174</v>
      </c>
      <c r="F61" s="130"/>
    </row>
    <row r="62" spans="1:6" s="135" customFormat="1" ht="12.5" x14ac:dyDescent="0.25">
      <c r="A62" s="112" t="s">
        <v>196</v>
      </c>
      <c r="B62" s="113">
        <v>226</v>
      </c>
      <c r="C62" s="114" t="s">
        <v>197</v>
      </c>
      <c r="D62" s="114" t="s">
        <v>191</v>
      </c>
      <c r="E62" s="115" t="s">
        <v>170</v>
      </c>
      <c r="F62" s="130"/>
    </row>
    <row r="63" spans="1:6" s="135" customFormat="1" ht="12.5" x14ac:dyDescent="0.25">
      <c r="A63" s="112" t="s">
        <v>196</v>
      </c>
      <c r="B63" s="113">
        <f>(51.85+25.08+51.47+21.37)</f>
        <v>149.77000000000001</v>
      </c>
      <c r="C63" s="114" t="s">
        <v>197</v>
      </c>
      <c r="D63" s="114" t="s">
        <v>198</v>
      </c>
      <c r="E63" s="115" t="s">
        <v>195</v>
      </c>
      <c r="F63" s="130"/>
    </row>
    <row r="64" spans="1:6" s="135" customFormat="1" ht="12.5" x14ac:dyDescent="0.25">
      <c r="A64" s="112"/>
      <c r="B64" s="113"/>
      <c r="C64" s="114"/>
      <c r="D64" s="114"/>
      <c r="E64" s="115"/>
      <c r="F64" s="130"/>
    </row>
    <row r="65" spans="1:6" s="135" customFormat="1" ht="12.5" x14ac:dyDescent="0.25">
      <c r="A65" s="112" t="s">
        <v>199</v>
      </c>
      <c r="B65" s="113">
        <f>+(427.79+191)</f>
        <v>618.79</v>
      </c>
      <c r="C65" s="114" t="s">
        <v>200</v>
      </c>
      <c r="D65" s="114" t="s">
        <v>201</v>
      </c>
      <c r="E65" s="115" t="s">
        <v>174</v>
      </c>
      <c r="F65" s="130"/>
    </row>
    <row r="66" spans="1:6" s="135" customFormat="1" ht="12.5" x14ac:dyDescent="0.25">
      <c r="A66" s="112" t="s">
        <v>199</v>
      </c>
      <c r="B66" s="113">
        <v>719</v>
      </c>
      <c r="C66" s="114" t="s">
        <v>200</v>
      </c>
      <c r="D66" s="114" t="s">
        <v>202</v>
      </c>
      <c r="E66" s="115" t="s">
        <v>170</v>
      </c>
      <c r="F66" s="130"/>
    </row>
    <row r="67" spans="1:6" s="135" customFormat="1" ht="12.5" x14ac:dyDescent="0.25">
      <c r="A67" s="112" t="s">
        <v>199</v>
      </c>
      <c r="B67" s="113">
        <f>(50.32+38.73+9.27+8.45+18.74)</f>
        <v>125.50999999999999</v>
      </c>
      <c r="C67" s="114" t="s">
        <v>200</v>
      </c>
      <c r="D67" s="114" t="s">
        <v>194</v>
      </c>
      <c r="E67" s="115" t="s">
        <v>195</v>
      </c>
      <c r="F67" s="130"/>
    </row>
    <row r="68" spans="1:6" s="135" customFormat="1" ht="12.5" x14ac:dyDescent="0.25">
      <c r="A68" s="112"/>
      <c r="B68" s="113"/>
      <c r="C68" s="114"/>
      <c r="D68" s="114"/>
      <c r="E68" s="115"/>
      <c r="F68" s="130"/>
    </row>
    <row r="69" spans="1:6" s="135" customFormat="1" ht="12.5" x14ac:dyDescent="0.25">
      <c r="A69" s="112" t="s">
        <v>203</v>
      </c>
      <c r="B69" s="113">
        <v>407</v>
      </c>
      <c r="C69" s="114" t="s">
        <v>204</v>
      </c>
      <c r="D69" s="114" t="s">
        <v>205</v>
      </c>
      <c r="E69" s="115" t="s">
        <v>174</v>
      </c>
      <c r="F69" s="130"/>
    </row>
    <row r="70" spans="1:6" s="135" customFormat="1" ht="12.5" x14ac:dyDescent="0.25">
      <c r="A70" s="112" t="s">
        <v>203</v>
      </c>
      <c r="B70" s="113">
        <v>452</v>
      </c>
      <c r="C70" s="114" t="s">
        <v>204</v>
      </c>
      <c r="D70" s="114" t="s">
        <v>206</v>
      </c>
      <c r="E70" s="115" t="s">
        <v>170</v>
      </c>
      <c r="F70" s="130"/>
    </row>
    <row r="71" spans="1:6" s="135" customFormat="1" ht="12.5" x14ac:dyDescent="0.25">
      <c r="A71" s="112" t="s">
        <v>203</v>
      </c>
      <c r="B71" s="113">
        <v>19.87</v>
      </c>
      <c r="C71" s="114" t="s">
        <v>204</v>
      </c>
      <c r="D71" s="114" t="s">
        <v>194</v>
      </c>
      <c r="E71" s="115" t="s">
        <v>207</v>
      </c>
      <c r="F71" s="130"/>
    </row>
    <row r="72" spans="1:6" s="135" customFormat="1" ht="12.5" x14ac:dyDescent="0.25">
      <c r="A72" s="127">
        <v>45567</v>
      </c>
      <c r="B72" s="113">
        <v>130</v>
      </c>
      <c r="C72" s="114" t="s">
        <v>204</v>
      </c>
      <c r="D72" s="114" t="s">
        <v>208</v>
      </c>
      <c r="E72" s="115" t="s">
        <v>158</v>
      </c>
      <c r="F72" s="130"/>
    </row>
    <row r="73" spans="1:6" s="135" customFormat="1" ht="12.5" x14ac:dyDescent="0.25">
      <c r="A73" s="127"/>
      <c r="B73" s="113"/>
      <c r="C73" s="114"/>
      <c r="D73" s="114"/>
      <c r="E73" s="115"/>
      <c r="F73" s="130"/>
    </row>
    <row r="74" spans="1:6" s="135" customFormat="1" ht="12.5" x14ac:dyDescent="0.25">
      <c r="A74" s="127">
        <v>45565</v>
      </c>
      <c r="B74" s="113">
        <f>(104+84)</f>
        <v>188</v>
      </c>
      <c r="C74" s="114" t="s">
        <v>209</v>
      </c>
      <c r="D74" s="114"/>
      <c r="E74" s="115"/>
      <c r="F74" s="130"/>
    </row>
    <row r="75" spans="1:6" s="135" customFormat="1" ht="12.5" x14ac:dyDescent="0.25">
      <c r="A75" s="112"/>
      <c r="B75" s="113"/>
      <c r="C75" s="114"/>
      <c r="D75" s="114"/>
      <c r="E75" s="115"/>
      <c r="F75" s="130"/>
    </row>
    <row r="76" spans="1:6" s="135" customFormat="1" ht="12.5" x14ac:dyDescent="0.25">
      <c r="A76" s="112" t="s">
        <v>210</v>
      </c>
      <c r="B76" s="113">
        <v>835</v>
      </c>
      <c r="C76" s="114" t="s">
        <v>211</v>
      </c>
      <c r="D76" s="114" t="s">
        <v>212</v>
      </c>
      <c r="E76" s="115" t="s">
        <v>213</v>
      </c>
      <c r="F76" s="130"/>
    </row>
    <row r="77" spans="1:6" s="135" customFormat="1" ht="12.5" x14ac:dyDescent="0.25">
      <c r="A77" s="112" t="s">
        <v>210</v>
      </c>
      <c r="B77" s="113">
        <v>204</v>
      </c>
      <c r="C77" s="114" t="s">
        <v>211</v>
      </c>
      <c r="D77" s="114" t="s">
        <v>191</v>
      </c>
      <c r="E77" s="115" t="s">
        <v>214</v>
      </c>
      <c r="F77" s="130"/>
    </row>
    <row r="78" spans="1:6" s="135" customFormat="1" ht="12.5" x14ac:dyDescent="0.25">
      <c r="A78" s="112" t="s">
        <v>210</v>
      </c>
      <c r="B78" s="113">
        <f>(89+1+20+45)</f>
        <v>155</v>
      </c>
      <c r="C78" s="114" t="s">
        <v>211</v>
      </c>
      <c r="D78" s="114" t="s">
        <v>215</v>
      </c>
      <c r="E78" s="115" t="s">
        <v>216</v>
      </c>
      <c r="F78" s="130"/>
    </row>
    <row r="79" spans="1:6" s="135" customFormat="1" ht="12.5" x14ac:dyDescent="0.25">
      <c r="A79" s="112" t="s">
        <v>210</v>
      </c>
      <c r="B79" s="113">
        <v>90</v>
      </c>
      <c r="C79" s="114" t="s">
        <v>211</v>
      </c>
      <c r="D79" s="114" t="s">
        <v>208</v>
      </c>
      <c r="E79" s="115" t="s">
        <v>158</v>
      </c>
      <c r="F79" s="130"/>
    </row>
    <row r="80" spans="1:6" s="135" customFormat="1" ht="12.5" x14ac:dyDescent="0.25">
      <c r="A80" s="112"/>
      <c r="B80" s="113"/>
      <c r="C80" s="114"/>
      <c r="D80" s="114"/>
      <c r="E80" s="115"/>
      <c r="F80" s="130"/>
    </row>
    <row r="81" spans="1:6" s="135" customFormat="1" ht="12.5" x14ac:dyDescent="0.25">
      <c r="A81" s="127">
        <v>45575</v>
      </c>
      <c r="B81" s="113">
        <v>291.2</v>
      </c>
      <c r="C81" s="114" t="s">
        <v>217</v>
      </c>
      <c r="D81" s="114" t="s">
        <v>218</v>
      </c>
      <c r="E81" s="115" t="s">
        <v>219</v>
      </c>
      <c r="F81" s="130"/>
    </row>
    <row r="82" spans="1:6" s="135" customFormat="1" ht="12.5" x14ac:dyDescent="0.25">
      <c r="A82" s="112"/>
      <c r="B82" s="113"/>
      <c r="C82" s="114"/>
      <c r="D82" s="114"/>
      <c r="E82" s="115"/>
      <c r="F82" s="130"/>
    </row>
    <row r="83" spans="1:6" s="135" customFormat="1" ht="12.5" x14ac:dyDescent="0.25">
      <c r="A83" s="112" t="s">
        <v>220</v>
      </c>
      <c r="B83" s="113">
        <f>(258+455+45)</f>
        <v>758</v>
      </c>
      <c r="C83" s="114" t="s">
        <v>221</v>
      </c>
      <c r="D83" s="114" t="s">
        <v>164</v>
      </c>
      <c r="E83" s="115" t="s">
        <v>174</v>
      </c>
      <c r="F83" s="130"/>
    </row>
    <row r="84" spans="1:6" s="135" customFormat="1" ht="12.5" x14ac:dyDescent="0.25">
      <c r="A84" s="112" t="s">
        <v>220</v>
      </c>
      <c r="B84" s="113">
        <v>226</v>
      </c>
      <c r="C84" s="114" t="s">
        <v>222</v>
      </c>
      <c r="D84" s="114" t="s">
        <v>223</v>
      </c>
      <c r="E84" s="115" t="s">
        <v>170</v>
      </c>
      <c r="F84" s="130"/>
    </row>
    <row r="85" spans="1:6" s="135" customFormat="1" ht="12.5" x14ac:dyDescent="0.25">
      <c r="A85" s="112" t="s">
        <v>220</v>
      </c>
      <c r="B85" s="113">
        <v>48.84</v>
      </c>
      <c r="C85" s="114" t="s">
        <v>222</v>
      </c>
      <c r="D85" s="114" t="s">
        <v>224</v>
      </c>
      <c r="E85" s="115" t="s">
        <v>170</v>
      </c>
      <c r="F85" s="130"/>
    </row>
    <row r="86" spans="1:6" s="135" customFormat="1" ht="12.5" x14ac:dyDescent="0.25">
      <c r="A86" s="112"/>
      <c r="B86" s="113"/>
      <c r="C86" s="114"/>
      <c r="D86" s="114"/>
      <c r="E86" s="115"/>
      <c r="F86" s="130"/>
    </row>
    <row r="87" spans="1:6" s="135" customFormat="1" ht="12.5" x14ac:dyDescent="0.25">
      <c r="A87" s="112" t="s">
        <v>225</v>
      </c>
      <c r="B87" s="113">
        <v>454.64</v>
      </c>
      <c r="C87" s="114" t="s">
        <v>226</v>
      </c>
      <c r="D87" s="114" t="s">
        <v>173</v>
      </c>
      <c r="E87" s="115" t="s">
        <v>174</v>
      </c>
      <c r="F87" s="130"/>
    </row>
    <row r="88" spans="1:6" s="135" customFormat="1" ht="12.5" x14ac:dyDescent="0.25">
      <c r="A88" s="112" t="s">
        <v>225</v>
      </c>
      <c r="B88" s="113">
        <v>231</v>
      </c>
      <c r="C88" s="114" t="s">
        <v>226</v>
      </c>
      <c r="D88" s="114" t="s">
        <v>227</v>
      </c>
      <c r="E88" s="115" t="s">
        <v>170</v>
      </c>
      <c r="F88" s="130"/>
    </row>
    <row r="89" spans="1:6" s="135" customFormat="1" ht="12.5" x14ac:dyDescent="0.25">
      <c r="A89" s="112" t="s">
        <v>225</v>
      </c>
      <c r="B89" s="113">
        <f>(50.58+27.12+8.45+25.03+52.27)</f>
        <v>163.45000000000002</v>
      </c>
      <c r="C89" s="114" t="s">
        <v>226</v>
      </c>
      <c r="D89" s="114" t="s">
        <v>228</v>
      </c>
      <c r="E89" s="115" t="s">
        <v>176</v>
      </c>
      <c r="F89" s="130"/>
    </row>
    <row r="90" spans="1:6" s="135" customFormat="1" ht="12.5" x14ac:dyDescent="0.25">
      <c r="A90" s="112"/>
      <c r="B90" s="113"/>
      <c r="C90" s="114"/>
      <c r="D90" s="114"/>
      <c r="E90" s="115"/>
      <c r="F90" s="130"/>
    </row>
    <row r="91" spans="1:6" s="135" customFormat="1" ht="12.5" x14ac:dyDescent="0.25">
      <c r="A91" s="127" t="s">
        <v>229</v>
      </c>
      <c r="B91" s="113">
        <v>423</v>
      </c>
      <c r="C91" s="114" t="s">
        <v>230</v>
      </c>
      <c r="D91" s="114" t="s">
        <v>164</v>
      </c>
      <c r="E91" s="115" t="s">
        <v>231</v>
      </c>
      <c r="F91" s="130"/>
    </row>
    <row r="92" spans="1:6" s="135" customFormat="1" ht="12.5" x14ac:dyDescent="0.25">
      <c r="A92" s="127" t="s">
        <v>229</v>
      </c>
      <c r="B92" s="113">
        <v>197</v>
      </c>
      <c r="C92" s="114" t="s">
        <v>230</v>
      </c>
      <c r="D92" s="114" t="s">
        <v>227</v>
      </c>
      <c r="E92" s="115" t="s">
        <v>169</v>
      </c>
      <c r="F92" s="130"/>
    </row>
    <row r="93" spans="1:6" s="135" customFormat="1" ht="12.5" x14ac:dyDescent="0.25">
      <c r="A93" s="127" t="s">
        <v>232</v>
      </c>
      <c r="B93" s="113">
        <f>(51.86+19.6)</f>
        <v>71.460000000000008</v>
      </c>
      <c r="C93" s="114" t="s">
        <v>230</v>
      </c>
      <c r="D93" s="114" t="s">
        <v>233</v>
      </c>
      <c r="E93" s="115" t="s">
        <v>234</v>
      </c>
      <c r="F93" s="130"/>
    </row>
    <row r="94" spans="1:6" s="135" customFormat="1" ht="12.5" x14ac:dyDescent="0.25">
      <c r="A94" s="127"/>
      <c r="B94" s="113"/>
      <c r="C94" s="114"/>
      <c r="D94" s="114"/>
      <c r="E94" s="115"/>
      <c r="F94" s="130"/>
    </row>
    <row r="95" spans="1:6" s="135" customFormat="1" ht="12.5" x14ac:dyDescent="0.25">
      <c r="A95" s="127" t="s">
        <v>235</v>
      </c>
      <c r="B95" s="113">
        <f>(407+146+117)</f>
        <v>670</v>
      </c>
      <c r="C95" s="114" t="s">
        <v>236</v>
      </c>
      <c r="D95" s="114" t="s">
        <v>164</v>
      </c>
      <c r="E95" s="115" t="s">
        <v>174</v>
      </c>
      <c r="F95" s="130"/>
    </row>
    <row r="96" spans="1:6" s="135" customFormat="1" ht="12.5" x14ac:dyDescent="0.25">
      <c r="A96" s="127" t="s">
        <v>235</v>
      </c>
      <c r="B96" s="113">
        <v>226</v>
      </c>
      <c r="C96" s="114" t="s">
        <v>236</v>
      </c>
      <c r="D96" s="114" t="s">
        <v>191</v>
      </c>
      <c r="E96" s="115" t="s">
        <v>170</v>
      </c>
      <c r="F96" s="130"/>
    </row>
    <row r="97" spans="1:6" s="135" customFormat="1" ht="12.5" x14ac:dyDescent="0.25">
      <c r="A97" s="127" t="s">
        <v>235</v>
      </c>
      <c r="B97" s="113">
        <f>+(50.43+30.46+21.37+59.86)</f>
        <v>162.12</v>
      </c>
      <c r="C97" s="114" t="s">
        <v>236</v>
      </c>
      <c r="D97" s="114" t="s">
        <v>184</v>
      </c>
      <c r="E97" s="115" t="s">
        <v>207</v>
      </c>
      <c r="F97" s="130"/>
    </row>
    <row r="98" spans="1:6" s="135" customFormat="1" ht="12.5" x14ac:dyDescent="0.25">
      <c r="A98" s="127"/>
      <c r="B98" s="113"/>
      <c r="C98" s="114"/>
      <c r="D98" s="114"/>
      <c r="E98" s="115"/>
      <c r="F98" s="130"/>
    </row>
    <row r="99" spans="1:6" s="135" customFormat="1" ht="12.5" x14ac:dyDescent="0.25">
      <c r="A99" s="127">
        <v>45596</v>
      </c>
      <c r="B99" s="113">
        <v>62</v>
      </c>
      <c r="C99" s="114" t="s">
        <v>237</v>
      </c>
      <c r="D99" s="114"/>
      <c r="E99" s="115"/>
      <c r="F99" s="130"/>
    </row>
    <row r="100" spans="1:6" s="135" customFormat="1" ht="12.5" x14ac:dyDescent="0.25">
      <c r="A100" s="127"/>
      <c r="B100" s="113"/>
      <c r="C100" s="114"/>
      <c r="D100" s="114"/>
      <c r="E100" s="115"/>
      <c r="F100" s="130"/>
    </row>
    <row r="101" spans="1:6" s="135" customFormat="1" ht="12.5" x14ac:dyDescent="0.25">
      <c r="A101" s="127" t="s">
        <v>238</v>
      </c>
      <c r="B101" s="113">
        <v>372</v>
      </c>
      <c r="C101" s="114" t="s">
        <v>239</v>
      </c>
      <c r="D101" s="114" t="s">
        <v>164</v>
      </c>
      <c r="E101" s="115" t="s">
        <v>174</v>
      </c>
      <c r="F101" s="130"/>
    </row>
    <row r="102" spans="1:6" s="135" customFormat="1" ht="12.5" x14ac:dyDescent="0.25">
      <c r="A102" s="127" t="s">
        <v>238</v>
      </c>
      <c r="B102" s="113">
        <v>226</v>
      </c>
      <c r="C102" s="114" t="s">
        <v>239</v>
      </c>
      <c r="D102" s="114" t="s">
        <v>191</v>
      </c>
      <c r="E102" s="115" t="s">
        <v>170</v>
      </c>
      <c r="F102" s="130"/>
    </row>
    <row r="103" spans="1:6" s="135" customFormat="1" ht="12.5" x14ac:dyDescent="0.25">
      <c r="A103" s="127" t="s">
        <v>238</v>
      </c>
      <c r="B103" s="113">
        <f>+(41.45+50.4+23.56+51.65)</f>
        <v>167.06</v>
      </c>
      <c r="C103" s="114" t="s">
        <v>239</v>
      </c>
      <c r="D103" s="114" t="s">
        <v>184</v>
      </c>
      <c r="E103" s="115" t="s">
        <v>207</v>
      </c>
      <c r="F103" s="130"/>
    </row>
    <row r="104" spans="1:6" s="135" customFormat="1" ht="12.5" x14ac:dyDescent="0.25">
      <c r="A104" s="127"/>
      <c r="B104" s="113"/>
      <c r="C104" s="114"/>
      <c r="D104" s="114"/>
      <c r="E104" s="115"/>
      <c r="F104" s="130"/>
    </row>
    <row r="105" spans="1:6" s="135" customFormat="1" ht="12.5" x14ac:dyDescent="0.25">
      <c r="A105" s="127" t="s">
        <v>240</v>
      </c>
      <c r="B105" s="113">
        <v>648</v>
      </c>
      <c r="C105" s="114" t="s">
        <v>204</v>
      </c>
      <c r="D105" s="114" t="s">
        <v>173</v>
      </c>
      <c r="E105" s="115" t="s">
        <v>174</v>
      </c>
      <c r="F105" s="130"/>
    </row>
    <row r="106" spans="1:6" s="135" customFormat="1" ht="12.5" x14ac:dyDescent="0.25">
      <c r="A106" s="127" t="s">
        <v>240</v>
      </c>
      <c r="B106" s="113">
        <v>226</v>
      </c>
      <c r="C106" s="114" t="s">
        <v>204</v>
      </c>
      <c r="D106" s="114" t="s">
        <v>168</v>
      </c>
      <c r="E106" s="115" t="s">
        <v>170</v>
      </c>
      <c r="F106" s="130"/>
    </row>
    <row r="107" spans="1:6" s="135" customFormat="1" ht="12.5" x14ac:dyDescent="0.25">
      <c r="A107" s="127" t="s">
        <v>240</v>
      </c>
      <c r="B107" s="113">
        <v>117</v>
      </c>
      <c r="C107" s="114" t="s">
        <v>204</v>
      </c>
      <c r="D107" s="114" t="s">
        <v>241</v>
      </c>
      <c r="E107" s="115" t="s">
        <v>158</v>
      </c>
      <c r="F107" s="130"/>
    </row>
    <row r="108" spans="1:6" s="135" customFormat="1" ht="12.5" x14ac:dyDescent="0.25">
      <c r="A108" s="127" t="s">
        <v>240</v>
      </c>
      <c r="B108" s="113">
        <f>+(22+23+27+10)</f>
        <v>82</v>
      </c>
      <c r="C108" s="114" t="s">
        <v>204</v>
      </c>
      <c r="D108" s="114" t="s">
        <v>198</v>
      </c>
      <c r="E108" s="115" t="s">
        <v>176</v>
      </c>
      <c r="F108" s="130"/>
    </row>
    <row r="109" spans="1:6" s="135" customFormat="1" ht="12.5" x14ac:dyDescent="0.25">
      <c r="A109" s="127"/>
      <c r="B109" s="113"/>
      <c r="C109" s="114"/>
      <c r="D109" s="114"/>
      <c r="E109" s="115"/>
      <c r="F109" s="130"/>
    </row>
    <row r="110" spans="1:6" s="135" customFormat="1" ht="12.5" x14ac:dyDescent="0.25">
      <c r="A110" s="127" t="s">
        <v>242</v>
      </c>
      <c r="B110" s="113">
        <v>249.6</v>
      </c>
      <c r="C110" s="114" t="s">
        <v>243</v>
      </c>
      <c r="D110" s="114" t="s">
        <v>244</v>
      </c>
      <c r="E110" s="115" t="s">
        <v>245</v>
      </c>
      <c r="F110" s="130"/>
    </row>
    <row r="111" spans="1:6" s="135" customFormat="1" ht="12.5" x14ac:dyDescent="0.25">
      <c r="A111" s="127" t="s">
        <v>246</v>
      </c>
      <c r="B111" s="113">
        <v>733</v>
      </c>
      <c r="C111" s="114" t="s">
        <v>243</v>
      </c>
      <c r="D111" s="114" t="s">
        <v>247</v>
      </c>
      <c r="E111" s="115" t="s">
        <v>192</v>
      </c>
      <c r="F111" s="130"/>
    </row>
    <row r="112" spans="1:6" s="135" customFormat="1" ht="12.5" x14ac:dyDescent="0.25">
      <c r="A112" s="127" t="s">
        <v>242</v>
      </c>
      <c r="B112" s="113">
        <f>(110.95+31.3+18.26+22.43+26.09)</f>
        <v>209.03</v>
      </c>
      <c r="C112" s="114" t="s">
        <v>243</v>
      </c>
      <c r="D112" s="114" t="s">
        <v>248</v>
      </c>
      <c r="E112" s="115" t="s">
        <v>192</v>
      </c>
      <c r="F112" s="130"/>
    </row>
    <row r="113" spans="1:6" s="135" customFormat="1" ht="12.5" x14ac:dyDescent="0.25">
      <c r="A113" s="127" t="s">
        <v>249</v>
      </c>
      <c r="B113" s="113">
        <v>9.42</v>
      </c>
      <c r="C113" s="114" t="s">
        <v>243</v>
      </c>
      <c r="D113" s="114" t="s">
        <v>224</v>
      </c>
      <c r="E113" s="115" t="s">
        <v>192</v>
      </c>
      <c r="F113" s="130"/>
    </row>
    <row r="114" spans="1:6" s="135" customFormat="1" ht="12.5" x14ac:dyDescent="0.25">
      <c r="A114" s="127"/>
      <c r="B114" s="113"/>
      <c r="C114" s="114"/>
      <c r="D114" s="114"/>
      <c r="E114" s="115"/>
      <c r="F114" s="130"/>
    </row>
    <row r="115" spans="1:6" s="135" customFormat="1" ht="12.5" x14ac:dyDescent="0.25">
      <c r="A115" s="127" t="s">
        <v>250</v>
      </c>
      <c r="B115" s="113">
        <v>125</v>
      </c>
      <c r="C115" s="114" t="s">
        <v>243</v>
      </c>
      <c r="D115" s="114" t="s">
        <v>251</v>
      </c>
      <c r="E115" s="115" t="s">
        <v>252</v>
      </c>
      <c r="F115" s="130"/>
    </row>
    <row r="116" spans="1:6" s="135" customFormat="1" ht="12.5" x14ac:dyDescent="0.25">
      <c r="A116" s="127" t="s">
        <v>250</v>
      </c>
      <c r="B116" s="113">
        <v>1011</v>
      </c>
      <c r="C116" s="114" t="s">
        <v>243</v>
      </c>
      <c r="D116" s="114" t="s">
        <v>253</v>
      </c>
      <c r="E116" s="115" t="s">
        <v>192</v>
      </c>
      <c r="F116" s="130"/>
    </row>
    <row r="117" spans="1:6" s="135" customFormat="1" ht="12.5" x14ac:dyDescent="0.25">
      <c r="A117" s="127" t="s">
        <v>250</v>
      </c>
      <c r="B117" s="113">
        <f>(13.04+26.09+63.52+96.18+23.04+44.13+27.83+110+28.7+13.04)</f>
        <v>445.57</v>
      </c>
      <c r="C117" s="114" t="s">
        <v>243</v>
      </c>
      <c r="D117" s="114" t="s">
        <v>254</v>
      </c>
      <c r="E117" s="115" t="s">
        <v>192</v>
      </c>
      <c r="F117" s="130"/>
    </row>
    <row r="118" spans="1:6" s="135" customFormat="1" ht="12.5" x14ac:dyDescent="0.25">
      <c r="A118" s="127" t="s">
        <v>250</v>
      </c>
      <c r="B118" s="113">
        <f>(25.22+38.26+7.83)</f>
        <v>71.31</v>
      </c>
      <c r="C118" s="114" t="s">
        <v>243</v>
      </c>
      <c r="D118" s="114" t="s">
        <v>255</v>
      </c>
      <c r="E118" s="115" t="s">
        <v>192</v>
      </c>
      <c r="F118" s="130"/>
    </row>
    <row r="119" spans="1:6" s="134" customFormat="1" ht="12.5" x14ac:dyDescent="0.25">
      <c r="A119" s="127"/>
      <c r="B119" s="113"/>
      <c r="C119" s="114"/>
      <c r="D119" s="114"/>
      <c r="E119" s="115"/>
      <c r="F119" s="130"/>
    </row>
    <row r="120" spans="1:6" s="135" customFormat="1" ht="12.5" x14ac:dyDescent="0.25">
      <c r="A120" s="127">
        <v>45622</v>
      </c>
      <c r="B120" s="113">
        <v>738</v>
      </c>
      <c r="C120" s="114" t="s">
        <v>256</v>
      </c>
      <c r="D120" s="114" t="s">
        <v>201</v>
      </c>
      <c r="E120" s="115" t="s">
        <v>257</v>
      </c>
      <c r="F120" s="130"/>
    </row>
    <row r="121" spans="1:6" s="135" customFormat="1" ht="12.5" x14ac:dyDescent="0.25">
      <c r="A121" s="127">
        <v>45622</v>
      </c>
      <c r="B121" s="113">
        <f>(59.97+32.84)</f>
        <v>92.81</v>
      </c>
      <c r="C121" s="114" t="s">
        <v>256</v>
      </c>
      <c r="D121" s="114" t="s">
        <v>233</v>
      </c>
      <c r="E121" s="115" t="s">
        <v>258</v>
      </c>
      <c r="F121" s="130"/>
    </row>
    <row r="122" spans="1:6" s="135" customFormat="1" ht="12.5" x14ac:dyDescent="0.25">
      <c r="A122" s="127">
        <v>45622</v>
      </c>
      <c r="B122" s="113">
        <v>19</v>
      </c>
      <c r="C122" s="114" t="s">
        <v>256</v>
      </c>
      <c r="D122" s="114" t="s">
        <v>208</v>
      </c>
      <c r="E122" s="115" t="s">
        <v>192</v>
      </c>
      <c r="F122" s="130"/>
    </row>
    <row r="123" spans="1:6" s="135" customFormat="1" ht="12.5" x14ac:dyDescent="0.25">
      <c r="A123" s="127"/>
      <c r="B123" s="113"/>
      <c r="C123" s="114"/>
      <c r="D123" s="114"/>
      <c r="E123" s="115"/>
      <c r="F123" s="130"/>
    </row>
    <row r="124" spans="1:6" s="135" customFormat="1" ht="12.5" x14ac:dyDescent="0.25">
      <c r="A124" s="127">
        <v>45626</v>
      </c>
      <c r="B124" s="113">
        <v>61</v>
      </c>
      <c r="C124" s="114" t="s">
        <v>259</v>
      </c>
      <c r="D124" s="114"/>
      <c r="E124" s="115"/>
      <c r="F124" s="130"/>
    </row>
    <row r="125" spans="1:6" s="135" customFormat="1" ht="12.5" x14ac:dyDescent="0.25">
      <c r="A125" s="127"/>
      <c r="B125" s="113"/>
      <c r="C125" s="114"/>
      <c r="D125" s="114"/>
      <c r="E125" s="115"/>
      <c r="F125" s="130"/>
    </row>
    <row r="126" spans="1:6" s="135" customFormat="1" ht="12.5" x14ac:dyDescent="0.25">
      <c r="A126" s="127" t="s">
        <v>260</v>
      </c>
      <c r="B126" s="113">
        <v>312</v>
      </c>
      <c r="C126" s="114" t="s">
        <v>261</v>
      </c>
      <c r="D126" s="114" t="s">
        <v>262</v>
      </c>
      <c r="E126" s="115" t="s">
        <v>263</v>
      </c>
      <c r="F126" s="130"/>
    </row>
    <row r="127" spans="1:6" s="135" customFormat="1" ht="12.5" x14ac:dyDescent="0.25">
      <c r="A127" s="127" t="s">
        <v>260</v>
      </c>
      <c r="B127" s="113">
        <v>468</v>
      </c>
      <c r="C127" s="114" t="s">
        <v>261</v>
      </c>
      <c r="D127" s="114" t="s">
        <v>264</v>
      </c>
      <c r="E127" s="115" t="s">
        <v>265</v>
      </c>
      <c r="F127" s="130"/>
    </row>
    <row r="128" spans="1:6" s="135" customFormat="1" ht="12.5" x14ac:dyDescent="0.25">
      <c r="A128" s="127"/>
      <c r="B128" s="113"/>
      <c r="C128" s="114"/>
      <c r="D128" s="114"/>
      <c r="E128" s="115"/>
      <c r="F128" s="130"/>
    </row>
    <row r="129" spans="1:6" s="135" customFormat="1" ht="12.5" x14ac:dyDescent="0.25">
      <c r="A129" s="127" t="s">
        <v>266</v>
      </c>
      <c r="B129" s="113">
        <v>249.6</v>
      </c>
      <c r="C129" s="114" t="s">
        <v>243</v>
      </c>
      <c r="D129" s="114" t="s">
        <v>267</v>
      </c>
      <c r="E129" s="115" t="s">
        <v>245</v>
      </c>
      <c r="F129" s="130"/>
    </row>
    <row r="130" spans="1:6" s="135" customFormat="1" ht="12.5" x14ac:dyDescent="0.25">
      <c r="A130" s="127" t="s">
        <v>266</v>
      </c>
      <c r="B130" s="113">
        <v>1022</v>
      </c>
      <c r="C130" s="114" t="s">
        <v>243</v>
      </c>
      <c r="D130" s="114" t="s">
        <v>253</v>
      </c>
      <c r="E130" s="115" t="s">
        <v>192</v>
      </c>
      <c r="F130" s="130"/>
    </row>
    <row r="131" spans="1:6" s="135" customFormat="1" ht="12.5" x14ac:dyDescent="0.25">
      <c r="A131" s="127" t="s">
        <v>266</v>
      </c>
      <c r="B131" s="113">
        <f>(9.57+26.96+166.08+18.26+26.96+75.65+13.91)</f>
        <v>337.39000000000004</v>
      </c>
      <c r="C131" s="114" t="s">
        <v>243</v>
      </c>
      <c r="D131" s="114" t="s">
        <v>254</v>
      </c>
      <c r="E131" s="115" t="s">
        <v>192</v>
      </c>
      <c r="F131" s="130"/>
    </row>
    <row r="132" spans="1:6" s="135" customFormat="1" ht="12.5" x14ac:dyDescent="0.25">
      <c r="A132" s="127"/>
      <c r="B132" s="113"/>
      <c r="C132" s="114"/>
      <c r="D132" s="114"/>
      <c r="E132" s="115"/>
      <c r="F132" s="130"/>
    </row>
    <row r="133" spans="1:6" s="135" customFormat="1" ht="12.5" x14ac:dyDescent="0.25">
      <c r="A133" s="127" t="s">
        <v>268</v>
      </c>
      <c r="B133" s="113">
        <f>(407+81)</f>
        <v>488</v>
      </c>
      <c r="C133" s="114" t="s">
        <v>269</v>
      </c>
      <c r="D133" s="114" t="s">
        <v>164</v>
      </c>
      <c r="E133" s="115" t="s">
        <v>174</v>
      </c>
      <c r="F133" s="130"/>
    </row>
    <row r="134" spans="1:6" s="135" customFormat="1" ht="12.5" x14ac:dyDescent="0.25">
      <c r="A134" s="127" t="s">
        <v>268</v>
      </c>
      <c r="B134" s="113">
        <v>692</v>
      </c>
      <c r="C134" s="114" t="s">
        <v>269</v>
      </c>
      <c r="D134" s="114" t="s">
        <v>253</v>
      </c>
      <c r="E134" s="115" t="s">
        <v>170</v>
      </c>
      <c r="F134" s="130"/>
    </row>
    <row r="135" spans="1:6" s="135" customFormat="1" ht="12.5" x14ac:dyDescent="0.25">
      <c r="A135" s="127" t="s">
        <v>268</v>
      </c>
      <c r="B135" s="113">
        <f>+(22+51+31+22+54+18+24)</f>
        <v>222</v>
      </c>
      <c r="C135" s="114" t="s">
        <v>269</v>
      </c>
      <c r="D135" s="114" t="s">
        <v>270</v>
      </c>
      <c r="E135" s="115" t="s">
        <v>207</v>
      </c>
      <c r="F135" s="130"/>
    </row>
    <row r="136" spans="1:6" s="135" customFormat="1" ht="12.5" x14ac:dyDescent="0.25">
      <c r="A136" s="127"/>
      <c r="B136" s="113"/>
      <c r="C136" s="114"/>
      <c r="D136" s="114"/>
      <c r="E136" s="115"/>
      <c r="F136" s="130"/>
    </row>
    <row r="137" spans="1:6" s="135" customFormat="1" ht="12.5" x14ac:dyDescent="0.25">
      <c r="A137" s="127">
        <v>45657</v>
      </c>
      <c r="B137" s="113">
        <f>(59+19)</f>
        <v>78</v>
      </c>
      <c r="C137" s="114" t="s">
        <v>271</v>
      </c>
      <c r="D137" s="114"/>
      <c r="E137" s="115"/>
      <c r="F137" s="130"/>
    </row>
    <row r="138" spans="1:6" s="135" customFormat="1" ht="12.5" x14ac:dyDescent="0.25">
      <c r="A138" s="127">
        <v>45657</v>
      </c>
      <c r="B138" s="113">
        <v>65</v>
      </c>
      <c r="C138" s="114" t="s">
        <v>272</v>
      </c>
      <c r="D138" s="114"/>
      <c r="E138" s="115"/>
      <c r="F138" s="130"/>
    </row>
    <row r="139" spans="1:6" s="135" customFormat="1" ht="12.5" x14ac:dyDescent="0.25">
      <c r="A139" s="127"/>
      <c r="B139" s="113"/>
      <c r="C139" s="114"/>
      <c r="D139" s="114"/>
      <c r="E139" s="115"/>
      <c r="F139" s="130"/>
    </row>
    <row r="140" spans="1:6" s="135" customFormat="1" ht="15.75" customHeight="1" x14ac:dyDescent="0.25">
      <c r="A140" s="127" t="s">
        <v>273</v>
      </c>
      <c r="B140" s="113">
        <v>614</v>
      </c>
      <c r="C140" s="114" t="s">
        <v>274</v>
      </c>
      <c r="D140" s="114" t="s">
        <v>173</v>
      </c>
      <c r="E140" s="115" t="s">
        <v>275</v>
      </c>
      <c r="F140" s="130"/>
    </row>
    <row r="141" spans="1:6" s="135" customFormat="1" ht="15.75" customHeight="1" x14ac:dyDescent="0.25">
      <c r="A141" s="127" t="s">
        <v>276</v>
      </c>
      <c r="B141" s="113">
        <v>461.22</v>
      </c>
      <c r="C141" s="114" t="s">
        <v>274</v>
      </c>
      <c r="D141" s="114" t="s">
        <v>277</v>
      </c>
      <c r="E141" s="115" t="s">
        <v>170</v>
      </c>
      <c r="F141" s="130"/>
    </row>
    <row r="142" spans="1:6" s="135" customFormat="1" ht="12.5" x14ac:dyDescent="0.25">
      <c r="A142" s="127" t="s">
        <v>276</v>
      </c>
      <c r="B142" s="113">
        <f>(8.45+21.41+33+52)</f>
        <v>114.86</v>
      </c>
      <c r="C142" s="114" t="s">
        <v>274</v>
      </c>
      <c r="D142" s="114" t="s">
        <v>198</v>
      </c>
      <c r="E142" s="115" t="s">
        <v>170</v>
      </c>
      <c r="F142" s="130"/>
    </row>
    <row r="143" spans="1:6" s="135" customFormat="1" ht="12.5" x14ac:dyDescent="0.25">
      <c r="A143" s="127"/>
      <c r="B143" s="113"/>
      <c r="C143" s="114"/>
      <c r="D143" s="114"/>
      <c r="E143" s="115"/>
      <c r="F143" s="130"/>
    </row>
    <row r="144" spans="1:6" s="135" customFormat="1" ht="12.5" x14ac:dyDescent="0.25">
      <c r="A144" s="127" t="s">
        <v>278</v>
      </c>
      <c r="B144" s="113">
        <v>430</v>
      </c>
      <c r="C144" s="114" t="s">
        <v>274</v>
      </c>
      <c r="D144" s="114" t="s">
        <v>173</v>
      </c>
      <c r="E144" s="115" t="s">
        <v>174</v>
      </c>
      <c r="F144" s="130"/>
    </row>
    <row r="145" spans="1:6" s="135" customFormat="1" ht="12.5" x14ac:dyDescent="0.25">
      <c r="A145" s="127" t="s">
        <v>278</v>
      </c>
      <c r="B145" s="113">
        <v>230.61</v>
      </c>
      <c r="C145" s="114" t="s">
        <v>274</v>
      </c>
      <c r="D145" s="114" t="s">
        <v>279</v>
      </c>
      <c r="E145" s="115" t="s">
        <v>170</v>
      </c>
      <c r="F145" s="130"/>
    </row>
    <row r="146" spans="1:6" s="135" customFormat="1" ht="12.5" x14ac:dyDescent="0.25">
      <c r="A146" s="127" t="s">
        <v>278</v>
      </c>
      <c r="B146" s="113">
        <f>(50.37+53.07+64.57+47.83)</f>
        <v>215.83999999999997</v>
      </c>
      <c r="C146" s="114" t="s">
        <v>274</v>
      </c>
      <c r="D146" s="114" t="s">
        <v>280</v>
      </c>
      <c r="E146" s="115" t="s">
        <v>281</v>
      </c>
      <c r="F146" s="130"/>
    </row>
    <row r="147" spans="1:6" s="135" customFormat="1" ht="12.5" x14ac:dyDescent="0.25">
      <c r="A147" s="127"/>
      <c r="B147" s="113"/>
      <c r="C147" s="114"/>
      <c r="D147" s="114"/>
      <c r="E147" s="115"/>
      <c r="F147" s="130"/>
    </row>
    <row r="148" spans="1:6" s="135" customFormat="1" ht="12.5" x14ac:dyDescent="0.25">
      <c r="A148" s="127">
        <v>45688</v>
      </c>
      <c r="B148" s="113">
        <v>43</v>
      </c>
      <c r="C148" s="114" t="s">
        <v>282</v>
      </c>
      <c r="D148" s="114"/>
      <c r="E148" s="115"/>
      <c r="F148" s="130"/>
    </row>
    <row r="149" spans="1:6" s="135" customFormat="1" ht="12.5" x14ac:dyDescent="0.25">
      <c r="A149" s="127">
        <v>45688</v>
      </c>
      <c r="B149" s="113">
        <v>21</v>
      </c>
      <c r="C149" s="114" t="s">
        <v>283</v>
      </c>
      <c r="D149" s="114"/>
      <c r="E149" s="115"/>
      <c r="F149" s="130"/>
    </row>
    <row r="150" spans="1:6" s="135" customFormat="1" ht="12.5" x14ac:dyDescent="0.25">
      <c r="A150" s="127"/>
      <c r="B150" s="113"/>
      <c r="C150" s="114"/>
      <c r="D150" s="114"/>
      <c r="E150" s="115"/>
      <c r="F150" s="130"/>
    </row>
    <row r="151" spans="1:6" s="135" customFormat="1" ht="12.5" x14ac:dyDescent="0.25">
      <c r="A151" s="127" t="s">
        <v>284</v>
      </c>
      <c r="B151" s="113">
        <v>390</v>
      </c>
      <c r="C151" s="114" t="s">
        <v>274</v>
      </c>
      <c r="D151" s="114" t="s">
        <v>173</v>
      </c>
      <c r="E151" s="115" t="s">
        <v>285</v>
      </c>
      <c r="F151" s="130"/>
    </row>
    <row r="152" spans="1:6" s="135" customFormat="1" ht="12.5" x14ac:dyDescent="0.25">
      <c r="A152" s="127" t="s">
        <v>284</v>
      </c>
      <c r="B152" s="113">
        <v>226</v>
      </c>
      <c r="C152" s="114" t="s">
        <v>274</v>
      </c>
      <c r="D152" s="114" t="s">
        <v>168</v>
      </c>
      <c r="E152" s="115" t="s">
        <v>170</v>
      </c>
      <c r="F152" s="130"/>
    </row>
    <row r="153" spans="1:6" s="135" customFormat="1" ht="12.5" x14ac:dyDescent="0.25">
      <c r="A153" s="127" t="s">
        <v>284</v>
      </c>
      <c r="B153" s="113">
        <v>56.52</v>
      </c>
      <c r="C153" s="114" t="s">
        <v>274</v>
      </c>
      <c r="D153" s="114" t="s">
        <v>286</v>
      </c>
      <c r="E153" s="115" t="s">
        <v>170</v>
      </c>
      <c r="F153" s="130"/>
    </row>
    <row r="154" spans="1:6" s="135" customFormat="1" ht="12.5" x14ac:dyDescent="0.25">
      <c r="A154" s="127" t="s">
        <v>284</v>
      </c>
      <c r="B154" s="113">
        <f>(57.96+61.2+50+52)</f>
        <v>221.16</v>
      </c>
      <c r="C154" s="114" t="s">
        <v>274</v>
      </c>
      <c r="D154" s="114" t="s">
        <v>287</v>
      </c>
      <c r="E154" s="115"/>
      <c r="F154" s="130"/>
    </row>
    <row r="155" spans="1:6" s="135" customFormat="1" ht="12.5" x14ac:dyDescent="0.25">
      <c r="A155" s="127"/>
      <c r="B155" s="113"/>
      <c r="C155" s="114"/>
      <c r="D155" s="114"/>
      <c r="E155" s="115"/>
      <c r="F155" s="130"/>
    </row>
    <row r="156" spans="1:6" s="135" customFormat="1" ht="12.5" x14ac:dyDescent="0.25">
      <c r="A156" s="127" t="s">
        <v>288</v>
      </c>
      <c r="B156" s="113">
        <v>408</v>
      </c>
      <c r="C156" s="114" t="s">
        <v>274</v>
      </c>
      <c r="D156" s="114" t="s">
        <v>173</v>
      </c>
      <c r="E156" s="115" t="s">
        <v>174</v>
      </c>
      <c r="F156" s="130"/>
    </row>
    <row r="157" spans="1:6" s="135" customFormat="1" ht="12.5" x14ac:dyDescent="0.25">
      <c r="A157" s="127" t="s">
        <v>288</v>
      </c>
      <c r="B157" s="113">
        <v>452.18</v>
      </c>
      <c r="C157" s="114" t="s">
        <v>274</v>
      </c>
      <c r="D157" s="114" t="s">
        <v>264</v>
      </c>
      <c r="E157" s="115" t="s">
        <v>170</v>
      </c>
      <c r="F157" s="130"/>
    </row>
    <row r="158" spans="1:6" s="135" customFormat="1" ht="12.5" x14ac:dyDescent="0.25">
      <c r="A158" s="127" t="s">
        <v>288</v>
      </c>
      <c r="B158" s="113">
        <f>(52+10+26+46)</f>
        <v>134</v>
      </c>
      <c r="C158" s="114" t="s">
        <v>274</v>
      </c>
      <c r="D158" s="114" t="s">
        <v>198</v>
      </c>
      <c r="E158" s="115" t="s">
        <v>170</v>
      </c>
      <c r="F158" s="130"/>
    </row>
    <row r="159" spans="1:6" s="135" customFormat="1" ht="12.5" x14ac:dyDescent="0.25">
      <c r="A159" s="127"/>
      <c r="B159" s="113"/>
      <c r="C159" s="114"/>
      <c r="D159" s="114"/>
      <c r="E159" s="115"/>
      <c r="F159" s="130"/>
    </row>
    <row r="160" spans="1:6" s="135" customFormat="1" ht="12.5" x14ac:dyDescent="0.25">
      <c r="A160" s="127" t="s">
        <v>289</v>
      </c>
      <c r="B160" s="113">
        <v>655</v>
      </c>
      <c r="C160" s="114" t="s">
        <v>290</v>
      </c>
      <c r="D160" s="114" t="s">
        <v>173</v>
      </c>
      <c r="E160" s="115" t="s">
        <v>174</v>
      </c>
      <c r="F160" s="130"/>
    </row>
    <row r="161" spans="1:6" s="135" customFormat="1" ht="12.5" x14ac:dyDescent="0.25">
      <c r="A161" s="127" t="s">
        <v>289</v>
      </c>
      <c r="B161" s="113">
        <v>226.09</v>
      </c>
      <c r="C161" s="114" t="s">
        <v>290</v>
      </c>
      <c r="D161" s="114" t="s">
        <v>291</v>
      </c>
      <c r="E161" s="115" t="s">
        <v>170</v>
      </c>
      <c r="F161" s="130"/>
    </row>
    <row r="162" spans="1:6" s="135" customFormat="1" ht="12.5" x14ac:dyDescent="0.25">
      <c r="A162" s="127" t="s">
        <v>289</v>
      </c>
      <c r="B162" s="113">
        <v>21.05</v>
      </c>
      <c r="C162" s="114" t="s">
        <v>290</v>
      </c>
      <c r="D162" s="114" t="s">
        <v>194</v>
      </c>
      <c r="E162" s="115" t="s">
        <v>207</v>
      </c>
      <c r="F162" s="130"/>
    </row>
    <row r="163" spans="1:6" s="135" customFormat="1" ht="12.5" x14ac:dyDescent="0.25">
      <c r="A163" s="127" t="s">
        <v>289</v>
      </c>
      <c r="B163" s="113">
        <v>126.96</v>
      </c>
      <c r="C163" s="114" t="s">
        <v>290</v>
      </c>
      <c r="D163" s="114" t="s">
        <v>241</v>
      </c>
      <c r="E163" s="115" t="s">
        <v>158</v>
      </c>
      <c r="F163" s="130"/>
    </row>
    <row r="164" spans="1:6" s="135" customFormat="1" ht="12.5" x14ac:dyDescent="0.25">
      <c r="A164" s="127"/>
      <c r="B164" s="113"/>
      <c r="C164" s="114"/>
      <c r="D164" s="114"/>
      <c r="E164" s="115"/>
      <c r="F164" s="130"/>
    </row>
    <row r="165" spans="1:6" s="135" customFormat="1" ht="12.5" x14ac:dyDescent="0.25">
      <c r="A165" s="127" t="s">
        <v>292</v>
      </c>
      <c r="B165" s="113">
        <v>430</v>
      </c>
      <c r="C165" s="114" t="s">
        <v>293</v>
      </c>
      <c r="D165" s="114" t="s">
        <v>173</v>
      </c>
      <c r="E165" s="115" t="s">
        <v>174</v>
      </c>
      <c r="F165" s="130"/>
    </row>
    <row r="166" spans="1:6" s="135" customFormat="1" ht="12.5" x14ac:dyDescent="0.25">
      <c r="A166" s="127" t="s">
        <v>292</v>
      </c>
      <c r="B166" s="113">
        <v>452.18</v>
      </c>
      <c r="C166" s="114" t="s">
        <v>293</v>
      </c>
      <c r="D166" s="114" t="s">
        <v>277</v>
      </c>
      <c r="E166" s="115" t="s">
        <v>170</v>
      </c>
      <c r="F166" s="130"/>
    </row>
    <row r="167" spans="1:6" s="135" customFormat="1" ht="12.5" x14ac:dyDescent="0.25">
      <c r="A167" s="127" t="s">
        <v>292</v>
      </c>
      <c r="B167" s="113">
        <f>(28.7+55.61+12)</f>
        <v>96.31</v>
      </c>
      <c r="C167" s="114" t="s">
        <v>293</v>
      </c>
      <c r="D167" s="114" t="s">
        <v>294</v>
      </c>
      <c r="E167" s="115" t="s">
        <v>170</v>
      </c>
      <c r="F167" s="130"/>
    </row>
    <row r="168" spans="1:6" s="135" customFormat="1" ht="12.5" x14ac:dyDescent="0.25">
      <c r="A168" s="127"/>
      <c r="B168" s="113"/>
      <c r="C168" s="114"/>
      <c r="D168" s="114"/>
      <c r="E168" s="115"/>
      <c r="F168" s="130"/>
    </row>
    <row r="169" spans="1:6" s="135" customFormat="1" ht="12.5" x14ac:dyDescent="0.25">
      <c r="A169" s="127">
        <v>45716</v>
      </c>
      <c r="B169" s="113">
        <v>37</v>
      </c>
      <c r="C169" s="114"/>
      <c r="D169" s="114"/>
      <c r="E169" s="115"/>
      <c r="F169" s="130"/>
    </row>
    <row r="170" spans="1:6" s="135" customFormat="1" ht="12.5" x14ac:dyDescent="0.25">
      <c r="A170" s="127">
        <v>45716</v>
      </c>
      <c r="B170" s="113">
        <v>10</v>
      </c>
      <c r="C170" s="114"/>
      <c r="D170" s="114"/>
      <c r="E170" s="115"/>
      <c r="F170" s="130"/>
    </row>
    <row r="171" spans="1:6" s="135" customFormat="1" ht="12.5" x14ac:dyDescent="0.25">
      <c r="A171" s="127"/>
      <c r="B171" s="113"/>
      <c r="C171" s="114"/>
      <c r="D171" s="114"/>
      <c r="E171" s="115"/>
      <c r="F171" s="130"/>
    </row>
    <row r="172" spans="1:6" s="135" customFormat="1" ht="12.5" x14ac:dyDescent="0.25">
      <c r="A172" s="127" t="s">
        <v>295</v>
      </c>
      <c r="B172" s="113">
        <v>168</v>
      </c>
      <c r="C172" s="114" t="s">
        <v>296</v>
      </c>
      <c r="D172" s="114" t="s">
        <v>297</v>
      </c>
      <c r="E172" s="115" t="s">
        <v>174</v>
      </c>
      <c r="F172" s="130"/>
    </row>
    <row r="173" spans="1:6" s="135" customFormat="1" ht="12.5" x14ac:dyDescent="0.25">
      <c r="A173" s="127" t="s">
        <v>295</v>
      </c>
      <c r="B173" s="113">
        <v>452</v>
      </c>
      <c r="C173" s="135" t="s">
        <v>296</v>
      </c>
      <c r="D173" s="114" t="s">
        <v>277</v>
      </c>
      <c r="E173" s="115" t="s">
        <v>170</v>
      </c>
      <c r="F173" s="130"/>
    </row>
    <row r="174" spans="1:6" s="135" customFormat="1" ht="12.5" x14ac:dyDescent="0.25">
      <c r="A174" s="127" t="s">
        <v>295</v>
      </c>
      <c r="B174" s="113">
        <f>(50.19+8.45+70.96+53)</f>
        <v>182.6</v>
      </c>
      <c r="C174" s="114" t="s">
        <v>296</v>
      </c>
      <c r="D174" s="114" t="s">
        <v>298</v>
      </c>
      <c r="E174" s="115" t="s">
        <v>299</v>
      </c>
      <c r="F174" s="130"/>
    </row>
    <row r="175" spans="1:6" s="135" customFormat="1" ht="12.5" x14ac:dyDescent="0.25">
      <c r="A175" s="127"/>
      <c r="B175" s="113"/>
      <c r="C175" s="114"/>
      <c r="D175" s="114"/>
      <c r="E175" s="115"/>
      <c r="F175" s="130"/>
    </row>
    <row r="176" spans="1:6" s="135" customFormat="1" ht="12.5" x14ac:dyDescent="0.25">
      <c r="A176" s="127" t="s">
        <v>300</v>
      </c>
      <c r="B176" s="113">
        <v>525.48</v>
      </c>
      <c r="C176" s="114" t="s">
        <v>301</v>
      </c>
      <c r="D176" s="114" t="s">
        <v>173</v>
      </c>
      <c r="E176" s="115" t="s">
        <v>174</v>
      </c>
      <c r="F176" s="130"/>
    </row>
    <row r="177" spans="1:6" s="135" customFormat="1" ht="12.5" x14ac:dyDescent="0.25">
      <c r="A177" s="127" t="s">
        <v>300</v>
      </c>
      <c r="B177" s="113">
        <v>102.61</v>
      </c>
      <c r="C177" s="114" t="s">
        <v>301</v>
      </c>
      <c r="D177" s="114" t="s">
        <v>302</v>
      </c>
      <c r="E177" s="115" t="s">
        <v>303</v>
      </c>
      <c r="F177" s="130"/>
    </row>
    <row r="178" spans="1:6" s="135" customFormat="1" ht="12.5" x14ac:dyDescent="0.25">
      <c r="A178" s="127" t="s">
        <v>300</v>
      </c>
      <c r="B178" s="113">
        <v>226</v>
      </c>
      <c r="C178" s="114" t="s">
        <v>301</v>
      </c>
      <c r="D178" s="114" t="s">
        <v>304</v>
      </c>
      <c r="E178" s="115" t="s">
        <v>170</v>
      </c>
      <c r="F178" s="130"/>
    </row>
    <row r="179" spans="1:6" s="135" customFormat="1" ht="12.5" x14ac:dyDescent="0.25">
      <c r="A179" s="127" t="s">
        <v>300</v>
      </c>
      <c r="B179" s="113">
        <f>24.03+63.86</f>
        <v>87.89</v>
      </c>
      <c r="C179" s="114" t="s">
        <v>301</v>
      </c>
      <c r="D179" s="114" t="s">
        <v>280</v>
      </c>
      <c r="E179" s="115" t="s">
        <v>195</v>
      </c>
      <c r="F179" s="130"/>
    </row>
    <row r="180" spans="1:6" s="135" customFormat="1" ht="12.5" x14ac:dyDescent="0.25">
      <c r="A180" s="127"/>
      <c r="B180" s="113"/>
      <c r="C180" s="114"/>
      <c r="D180" s="114"/>
      <c r="E180" s="115"/>
      <c r="F180" s="130"/>
    </row>
    <row r="181" spans="1:6" s="135" customFormat="1" ht="12.5" x14ac:dyDescent="0.25">
      <c r="A181" s="127" t="s">
        <v>305</v>
      </c>
      <c r="B181" s="113">
        <v>291.2</v>
      </c>
      <c r="C181" s="114" t="s">
        <v>306</v>
      </c>
      <c r="D181" s="114" t="s">
        <v>307</v>
      </c>
      <c r="E181" s="115" t="s">
        <v>308</v>
      </c>
      <c r="F181" s="130"/>
    </row>
    <row r="182" spans="1:6" s="135" customFormat="1" ht="12.5" x14ac:dyDescent="0.25">
      <c r="A182" s="127"/>
      <c r="B182" s="113"/>
      <c r="C182" s="114"/>
      <c r="D182" s="114"/>
      <c r="E182" s="115"/>
      <c r="F182" s="130"/>
    </row>
    <row r="183" spans="1:6" s="135" customFormat="1" ht="12.5" x14ac:dyDescent="0.25">
      <c r="A183" s="127" t="s">
        <v>309</v>
      </c>
      <c r="B183" s="113">
        <v>609.83000000000004</v>
      </c>
      <c r="C183" s="114" t="s">
        <v>310</v>
      </c>
      <c r="D183" s="114" t="s">
        <v>173</v>
      </c>
      <c r="E183" s="115" t="s">
        <v>174</v>
      </c>
      <c r="F183" s="130"/>
    </row>
    <row r="184" spans="1:6" s="135" customFormat="1" ht="12.5" x14ac:dyDescent="0.25">
      <c r="A184" s="127" t="s">
        <v>309</v>
      </c>
      <c r="B184" s="113">
        <v>226</v>
      </c>
      <c r="C184" s="114" t="s">
        <v>310</v>
      </c>
      <c r="D184" s="114" t="s">
        <v>304</v>
      </c>
      <c r="E184" s="115" t="s">
        <v>170</v>
      </c>
      <c r="F184" s="130"/>
    </row>
    <row r="185" spans="1:6" s="135" customFormat="1" ht="12.5" x14ac:dyDescent="0.25">
      <c r="A185" s="127" t="s">
        <v>309</v>
      </c>
      <c r="B185" s="113">
        <v>40.869999999999997</v>
      </c>
      <c r="C185" s="114" t="s">
        <v>310</v>
      </c>
      <c r="D185" s="114" t="s">
        <v>311</v>
      </c>
      <c r="E185" s="115" t="s">
        <v>170</v>
      </c>
      <c r="F185" s="130"/>
    </row>
    <row r="186" spans="1:6" s="135" customFormat="1" ht="12.5" x14ac:dyDescent="0.25">
      <c r="A186" s="127" t="s">
        <v>309</v>
      </c>
      <c r="B186" s="113">
        <f>(64.92+52)</f>
        <v>116.92</v>
      </c>
      <c r="C186" s="114" t="s">
        <v>310</v>
      </c>
      <c r="D186" s="114" t="s">
        <v>194</v>
      </c>
      <c r="E186" s="115"/>
      <c r="F186" s="130"/>
    </row>
    <row r="187" spans="1:6" s="135" customFormat="1" ht="12.5" x14ac:dyDescent="0.25">
      <c r="A187" s="127"/>
      <c r="B187" s="113"/>
      <c r="C187" s="114"/>
      <c r="D187" s="114"/>
      <c r="E187" s="115"/>
      <c r="F187" s="130"/>
    </row>
    <row r="188" spans="1:6" s="135" customFormat="1" ht="12.5" x14ac:dyDescent="0.25">
      <c r="A188" s="127" t="s">
        <v>312</v>
      </c>
      <c r="B188" s="113">
        <v>533</v>
      </c>
      <c r="C188" s="114" t="s">
        <v>313</v>
      </c>
      <c r="D188" s="114" t="s">
        <v>173</v>
      </c>
      <c r="E188" s="115" t="s">
        <v>174</v>
      </c>
      <c r="F188" s="130"/>
    </row>
    <row r="189" spans="1:6" s="135" customFormat="1" ht="12.5" x14ac:dyDescent="0.25">
      <c r="A189" s="127" t="s">
        <v>312</v>
      </c>
      <c r="B189" s="113">
        <v>452</v>
      </c>
      <c r="C189" s="114" t="s">
        <v>313</v>
      </c>
      <c r="D189" s="114" t="s">
        <v>314</v>
      </c>
      <c r="E189" s="115" t="s">
        <v>170</v>
      </c>
      <c r="F189" s="130"/>
    </row>
    <row r="190" spans="1:6" s="135" customFormat="1" ht="12.5" x14ac:dyDescent="0.25">
      <c r="A190" s="127" t="s">
        <v>312</v>
      </c>
      <c r="B190" s="113">
        <f>(50+29+47+50)</f>
        <v>176</v>
      </c>
      <c r="C190" s="114" t="s">
        <v>313</v>
      </c>
      <c r="D190" s="114" t="s">
        <v>194</v>
      </c>
      <c r="E190" s="115"/>
      <c r="F190" s="130"/>
    </row>
    <row r="191" spans="1:6" s="135" customFormat="1" ht="12.5" x14ac:dyDescent="0.25">
      <c r="A191" s="127"/>
      <c r="B191" s="113"/>
      <c r="C191" s="114"/>
      <c r="D191" s="114"/>
      <c r="E191" s="115"/>
      <c r="F191" s="130"/>
    </row>
    <row r="192" spans="1:6" s="135" customFormat="1" ht="12.5" x14ac:dyDescent="0.25">
      <c r="A192" s="127">
        <v>45717</v>
      </c>
      <c r="B192" s="113">
        <v>124</v>
      </c>
      <c r="C192" s="114" t="s">
        <v>315</v>
      </c>
      <c r="D192" s="114"/>
      <c r="E192" s="115"/>
      <c r="F192" s="130"/>
    </row>
    <row r="193" spans="1:6" s="135" customFormat="1" ht="12.5" x14ac:dyDescent="0.25">
      <c r="A193" s="127"/>
      <c r="B193" s="113"/>
      <c r="C193" s="114"/>
      <c r="D193" s="114"/>
      <c r="E193" s="115"/>
      <c r="F193" s="130"/>
    </row>
    <row r="194" spans="1:6" s="135" customFormat="1" ht="12.5" x14ac:dyDescent="0.25">
      <c r="A194" s="127" t="s">
        <v>316</v>
      </c>
      <c r="B194" s="113">
        <v>470.66</v>
      </c>
      <c r="C194" s="114" t="s">
        <v>317</v>
      </c>
      <c r="D194" s="114" t="s">
        <v>173</v>
      </c>
      <c r="E194" s="115" t="s">
        <v>174</v>
      </c>
      <c r="F194" s="130"/>
    </row>
    <row r="195" spans="1:6" s="135" customFormat="1" ht="12.5" x14ac:dyDescent="0.25">
      <c r="A195" s="127" t="s">
        <v>316</v>
      </c>
      <c r="B195" s="113">
        <v>230.61</v>
      </c>
      <c r="C195" s="114" t="s">
        <v>318</v>
      </c>
      <c r="D195" s="114" t="s">
        <v>168</v>
      </c>
      <c r="E195" s="115" t="s">
        <v>170</v>
      </c>
      <c r="F195" s="130"/>
    </row>
    <row r="196" spans="1:6" s="135" customFormat="1" ht="12.5" x14ac:dyDescent="0.25">
      <c r="A196" s="127" t="s">
        <v>316</v>
      </c>
      <c r="B196" s="113">
        <f>(24+26+8)</f>
        <v>58</v>
      </c>
      <c r="C196" s="114" t="s">
        <v>318</v>
      </c>
      <c r="D196" s="114" t="s">
        <v>194</v>
      </c>
      <c r="E196" s="115"/>
      <c r="F196" s="130"/>
    </row>
    <row r="197" spans="1:6" s="135" customFormat="1" ht="12.5" x14ac:dyDescent="0.25">
      <c r="A197" s="127" t="s">
        <v>316</v>
      </c>
      <c r="B197" s="113">
        <v>134</v>
      </c>
      <c r="C197" s="114" t="s">
        <v>319</v>
      </c>
      <c r="D197" s="114" t="s">
        <v>320</v>
      </c>
      <c r="E197" s="115" t="s">
        <v>158</v>
      </c>
      <c r="F197" s="130"/>
    </row>
    <row r="198" spans="1:6" s="135" customFormat="1" ht="12.5" x14ac:dyDescent="0.25">
      <c r="A198" s="127"/>
      <c r="B198" s="113"/>
      <c r="C198" s="114"/>
      <c r="D198" s="114"/>
      <c r="E198" s="115"/>
      <c r="F198" s="130"/>
    </row>
    <row r="199" spans="1:6" s="135" customFormat="1" ht="12.5" x14ac:dyDescent="0.25">
      <c r="A199" s="127" t="s">
        <v>321</v>
      </c>
      <c r="B199" s="113">
        <v>500.18</v>
      </c>
      <c r="C199" s="114" t="s">
        <v>322</v>
      </c>
      <c r="D199" s="114" t="s">
        <v>323</v>
      </c>
      <c r="E199" s="115" t="s">
        <v>174</v>
      </c>
      <c r="F199" s="130"/>
    </row>
    <row r="200" spans="1:6" s="135" customFormat="1" ht="12.5" x14ac:dyDescent="0.25">
      <c r="A200" s="127" t="s">
        <v>321</v>
      </c>
      <c r="B200" s="113">
        <v>678.27</v>
      </c>
      <c r="C200" s="114" t="s">
        <v>322</v>
      </c>
      <c r="D200" s="114" t="s">
        <v>324</v>
      </c>
      <c r="E200" s="115" t="s">
        <v>170</v>
      </c>
      <c r="F200" s="130"/>
    </row>
    <row r="201" spans="1:6" s="135" customFormat="1" ht="12.5" x14ac:dyDescent="0.25">
      <c r="A201" s="127" t="s">
        <v>321</v>
      </c>
      <c r="B201" s="113">
        <f>(51.27+8.45+53.93+31+8)</f>
        <v>152.65</v>
      </c>
      <c r="C201" s="114" t="s">
        <v>322</v>
      </c>
      <c r="D201" s="114" t="s">
        <v>194</v>
      </c>
      <c r="E201" s="115" t="s">
        <v>170</v>
      </c>
      <c r="F201" s="130"/>
    </row>
    <row r="202" spans="1:6" s="135" customFormat="1" ht="12.5" x14ac:dyDescent="0.25">
      <c r="A202" s="127"/>
      <c r="B202" s="113"/>
      <c r="C202" s="114"/>
      <c r="D202" s="114"/>
      <c r="E202" s="115"/>
      <c r="F202" s="130"/>
    </row>
    <row r="203" spans="1:6" s="135" customFormat="1" ht="12.5" x14ac:dyDescent="0.25">
      <c r="A203" s="127" t="s">
        <v>325</v>
      </c>
      <c r="B203" s="113">
        <v>403.66</v>
      </c>
      <c r="C203" s="114" t="s">
        <v>326</v>
      </c>
      <c r="D203" s="114" t="s">
        <v>173</v>
      </c>
      <c r="E203" s="115" t="s">
        <v>231</v>
      </c>
      <c r="F203" s="130"/>
    </row>
    <row r="204" spans="1:6" s="135" customFormat="1" ht="12.5" x14ac:dyDescent="0.25">
      <c r="A204" s="127" t="s">
        <v>325</v>
      </c>
      <c r="B204" s="113">
        <v>958.7</v>
      </c>
      <c r="C204" s="114" t="s">
        <v>326</v>
      </c>
      <c r="D204" s="114" t="s">
        <v>324</v>
      </c>
      <c r="E204" s="115" t="s">
        <v>169</v>
      </c>
      <c r="F204" s="130"/>
    </row>
    <row r="205" spans="1:6" s="135" customFormat="1" ht="12.5" x14ac:dyDescent="0.25">
      <c r="A205" s="127" t="s">
        <v>325</v>
      </c>
      <c r="B205" s="113">
        <f>(40+32)</f>
        <v>72</v>
      </c>
      <c r="C205" s="114" t="s">
        <v>326</v>
      </c>
      <c r="D205" s="114" t="s">
        <v>327</v>
      </c>
      <c r="E205" s="115"/>
      <c r="F205" s="130"/>
    </row>
    <row r="206" spans="1:6" s="135" customFormat="1" ht="12.5" x14ac:dyDescent="0.25">
      <c r="A206" s="127" t="s">
        <v>325</v>
      </c>
      <c r="B206" s="113">
        <v>148.69999999999999</v>
      </c>
      <c r="C206" s="114" t="s">
        <v>326</v>
      </c>
      <c r="D206" s="114" t="s">
        <v>328</v>
      </c>
      <c r="E206" s="115" t="s">
        <v>158</v>
      </c>
      <c r="F206" s="130"/>
    </row>
    <row r="207" spans="1:6" s="135" customFormat="1" ht="12.5" x14ac:dyDescent="0.25">
      <c r="A207" s="127" t="s">
        <v>325</v>
      </c>
      <c r="B207" s="113">
        <f>(21.73+10.43)</f>
        <v>32.159999999999997</v>
      </c>
      <c r="C207" s="114" t="s">
        <v>326</v>
      </c>
      <c r="D207" s="114" t="s">
        <v>329</v>
      </c>
      <c r="E207" s="115" t="s">
        <v>169</v>
      </c>
      <c r="F207" s="130"/>
    </row>
    <row r="208" spans="1:6" s="135" customFormat="1" ht="12.5" x14ac:dyDescent="0.25">
      <c r="A208" s="112"/>
      <c r="B208" s="113"/>
      <c r="C208" s="114"/>
      <c r="D208" s="114"/>
      <c r="E208" s="115"/>
      <c r="F208" s="130"/>
    </row>
    <row r="209" spans="1:6" s="135" customFormat="1" ht="12.5" x14ac:dyDescent="0.25">
      <c r="A209" s="112" t="s">
        <v>330</v>
      </c>
      <c r="B209" s="113">
        <v>445</v>
      </c>
      <c r="C209" s="114" t="s">
        <v>331</v>
      </c>
      <c r="D209" s="114" t="s">
        <v>173</v>
      </c>
      <c r="E209" s="115" t="s">
        <v>174</v>
      </c>
      <c r="F209" s="130"/>
    </row>
    <row r="210" spans="1:6" s="135" customFormat="1" ht="12.5" x14ac:dyDescent="0.25">
      <c r="A210" s="112" t="s">
        <v>330</v>
      </c>
      <c r="B210" s="113">
        <v>461.22</v>
      </c>
      <c r="C210" s="114" t="s">
        <v>331</v>
      </c>
      <c r="D210" s="114" t="s">
        <v>277</v>
      </c>
      <c r="E210" s="115" t="s">
        <v>170</v>
      </c>
      <c r="F210" s="130"/>
    </row>
    <row r="211" spans="1:6" s="135" customFormat="1" ht="12.5" x14ac:dyDescent="0.25">
      <c r="A211" s="112" t="s">
        <v>330</v>
      </c>
      <c r="B211" s="113">
        <f>(43+53)</f>
        <v>96</v>
      </c>
      <c r="C211" s="114" t="s">
        <v>331</v>
      </c>
      <c r="D211" s="114" t="s">
        <v>194</v>
      </c>
      <c r="E211" s="115"/>
      <c r="F211" s="130"/>
    </row>
    <row r="212" spans="1:6" s="135" customFormat="1" ht="12.5" x14ac:dyDescent="0.25">
      <c r="A212" s="112"/>
      <c r="B212" s="113"/>
      <c r="C212" s="114"/>
      <c r="D212" s="114"/>
      <c r="E212" s="115"/>
      <c r="F212" s="130"/>
    </row>
    <row r="213" spans="1:6" s="135" customFormat="1" ht="12.5" x14ac:dyDescent="0.25">
      <c r="A213" s="127">
        <v>45777</v>
      </c>
      <c r="B213" s="113">
        <v>43</v>
      </c>
      <c r="C213" s="114" t="s">
        <v>332</v>
      </c>
      <c r="D213" s="114" t="s">
        <v>186</v>
      </c>
      <c r="E213" s="115"/>
      <c r="F213" s="130"/>
    </row>
    <row r="214" spans="1:6" s="135" customFormat="1" ht="12.5" x14ac:dyDescent="0.25">
      <c r="A214" s="112"/>
      <c r="B214" s="113"/>
      <c r="C214" s="114"/>
      <c r="D214" s="114"/>
      <c r="E214" s="115"/>
      <c r="F214" s="130"/>
    </row>
    <row r="215" spans="1:6" s="135" customFormat="1" ht="12.5" x14ac:dyDescent="0.25">
      <c r="A215" s="112" t="s">
        <v>333</v>
      </c>
      <c r="B215" s="113">
        <v>380.41</v>
      </c>
      <c r="C215" s="114" t="s">
        <v>334</v>
      </c>
      <c r="D215" s="114" t="s">
        <v>323</v>
      </c>
      <c r="E215" s="115" t="s">
        <v>174</v>
      </c>
      <c r="F215" s="130"/>
    </row>
    <row r="216" spans="1:6" s="135" customFormat="1" ht="12.5" x14ac:dyDescent="0.25">
      <c r="A216" s="112" t="s">
        <v>333</v>
      </c>
      <c r="B216" s="113">
        <v>231</v>
      </c>
      <c r="C216" s="114" t="s">
        <v>334</v>
      </c>
      <c r="D216" s="114" t="s">
        <v>335</v>
      </c>
      <c r="E216" s="115" t="s">
        <v>170</v>
      </c>
      <c r="F216" s="130"/>
    </row>
    <row r="217" spans="1:6" s="135" customFormat="1" ht="12.5" x14ac:dyDescent="0.25">
      <c r="A217" s="112" t="s">
        <v>333</v>
      </c>
      <c r="B217" s="113">
        <f>(51.64+35.03+8.45+62.62+59)</f>
        <v>216.74</v>
      </c>
      <c r="C217" s="114" t="s">
        <v>334</v>
      </c>
      <c r="D217" s="114" t="s">
        <v>224</v>
      </c>
      <c r="E217" s="115"/>
      <c r="F217" s="130"/>
    </row>
    <row r="218" spans="1:6" s="135" customFormat="1" ht="12.5" x14ac:dyDescent="0.25">
      <c r="A218" s="112"/>
      <c r="B218" s="113"/>
      <c r="C218" s="114"/>
      <c r="D218" s="114"/>
      <c r="E218" s="115"/>
      <c r="F218" s="130"/>
    </row>
    <row r="219" spans="1:6" s="135" customFormat="1" ht="12.5" x14ac:dyDescent="0.25">
      <c r="A219" s="127">
        <v>45789</v>
      </c>
      <c r="B219" s="113">
        <v>380</v>
      </c>
      <c r="C219" s="114" t="s">
        <v>336</v>
      </c>
      <c r="D219" s="114" t="s">
        <v>173</v>
      </c>
      <c r="E219" s="115" t="s">
        <v>174</v>
      </c>
      <c r="F219" s="130"/>
    </row>
    <row r="220" spans="1:6" s="135" customFormat="1" ht="12.5" x14ac:dyDescent="0.25">
      <c r="A220" s="127">
        <v>45789</v>
      </c>
      <c r="B220" s="113">
        <v>55.65</v>
      </c>
      <c r="C220" s="114" t="s">
        <v>337</v>
      </c>
      <c r="D220" s="114" t="s">
        <v>338</v>
      </c>
      <c r="E220" s="115" t="s">
        <v>158</v>
      </c>
      <c r="F220" s="130"/>
    </row>
    <row r="221" spans="1:6" s="135" customFormat="1" ht="12.5" x14ac:dyDescent="0.25">
      <c r="A221" s="127">
        <v>45789</v>
      </c>
      <c r="B221" s="113">
        <f>(26.67+41.74+44.7)</f>
        <v>113.11</v>
      </c>
      <c r="C221" s="114" t="s">
        <v>336</v>
      </c>
      <c r="D221" s="114" t="s">
        <v>194</v>
      </c>
      <c r="E221" s="115"/>
      <c r="F221" s="130"/>
    </row>
    <row r="222" spans="1:6" s="135" customFormat="1" ht="12.5" x14ac:dyDescent="0.25">
      <c r="A222" s="127"/>
      <c r="B222" s="113"/>
      <c r="C222" s="114"/>
      <c r="D222" s="114"/>
      <c r="E222" s="115"/>
      <c r="F222" s="130"/>
    </row>
    <row r="223" spans="1:6" s="135" customFormat="1" ht="12.5" x14ac:dyDescent="0.25">
      <c r="A223" s="127" t="s">
        <v>339</v>
      </c>
      <c r="B223" s="113">
        <v>440.43</v>
      </c>
      <c r="C223" s="114" t="s">
        <v>340</v>
      </c>
      <c r="D223" s="114" t="s">
        <v>173</v>
      </c>
      <c r="E223" s="115" t="s">
        <v>231</v>
      </c>
      <c r="F223" s="130"/>
    </row>
    <row r="224" spans="1:6" s="135" customFormat="1" ht="12.5" x14ac:dyDescent="0.25">
      <c r="A224" s="127" t="s">
        <v>339</v>
      </c>
      <c r="B224" s="113">
        <v>339</v>
      </c>
      <c r="C224" s="114" t="s">
        <v>340</v>
      </c>
      <c r="D224" s="114" t="s">
        <v>341</v>
      </c>
      <c r="E224" s="115" t="s">
        <v>342</v>
      </c>
      <c r="F224" s="130"/>
    </row>
    <row r="225" spans="1:6" s="135" customFormat="1" ht="12.5" x14ac:dyDescent="0.25">
      <c r="A225" s="127" t="s">
        <v>339</v>
      </c>
      <c r="B225" s="113">
        <v>7</v>
      </c>
      <c r="C225" s="114" t="s">
        <v>340</v>
      </c>
      <c r="D225" s="114" t="s">
        <v>286</v>
      </c>
      <c r="E225" s="115" t="s">
        <v>342</v>
      </c>
      <c r="F225" s="130"/>
    </row>
    <row r="226" spans="1:6" s="135" customFormat="1" ht="12.5" x14ac:dyDescent="0.25">
      <c r="A226" s="127" t="s">
        <v>339</v>
      </c>
      <c r="B226" s="113">
        <v>107</v>
      </c>
      <c r="C226" s="114" t="s">
        <v>340</v>
      </c>
      <c r="D226" s="114" t="s">
        <v>343</v>
      </c>
      <c r="E226" s="115" t="s">
        <v>342</v>
      </c>
      <c r="F226" s="130"/>
    </row>
    <row r="227" spans="1:6" s="135" customFormat="1" ht="12.5" x14ac:dyDescent="0.25">
      <c r="A227" s="127" t="s">
        <v>339</v>
      </c>
      <c r="B227" s="113">
        <f>(40.8+53.5)</f>
        <v>94.3</v>
      </c>
      <c r="C227" s="114" t="s">
        <v>340</v>
      </c>
      <c r="D227" s="114" t="s">
        <v>194</v>
      </c>
      <c r="E227" s="115" t="s">
        <v>234</v>
      </c>
      <c r="F227" s="130"/>
    </row>
    <row r="228" spans="1:6" s="135" customFormat="1" ht="12.5" x14ac:dyDescent="0.25">
      <c r="A228" s="112"/>
      <c r="B228" s="113"/>
      <c r="C228" s="114"/>
      <c r="D228" s="114"/>
      <c r="E228" s="115"/>
      <c r="F228" s="130"/>
    </row>
    <row r="229" spans="1:6" s="135" customFormat="1" ht="12.5" x14ac:dyDescent="0.25">
      <c r="A229" s="112" t="s">
        <v>344</v>
      </c>
      <c r="B229" s="113">
        <v>445.36</v>
      </c>
      <c r="C229" s="114" t="s">
        <v>345</v>
      </c>
      <c r="D229" s="114" t="s">
        <v>323</v>
      </c>
      <c r="E229" s="115" t="s">
        <v>174</v>
      </c>
      <c r="F229" s="130"/>
    </row>
    <row r="230" spans="1:6" s="135" customFormat="1" ht="12.5" x14ac:dyDescent="0.25">
      <c r="A230" s="127" t="s">
        <v>344</v>
      </c>
      <c r="B230" s="113">
        <f>+(38.1+41.64+31+52)</f>
        <v>162.74</v>
      </c>
      <c r="C230" s="114" t="s">
        <v>345</v>
      </c>
      <c r="D230" s="114" t="s">
        <v>194</v>
      </c>
      <c r="E230" s="115"/>
      <c r="F230" s="130"/>
    </row>
    <row r="231" spans="1:6" s="135" customFormat="1" ht="12.5" x14ac:dyDescent="0.25">
      <c r="A231" s="127" t="s">
        <v>344</v>
      </c>
      <c r="B231" s="113">
        <v>461.22</v>
      </c>
      <c r="C231" s="114" t="s">
        <v>346</v>
      </c>
      <c r="D231" s="114" t="s">
        <v>314</v>
      </c>
      <c r="E231" s="115" t="s">
        <v>170</v>
      </c>
      <c r="F231" s="130"/>
    </row>
    <row r="232" spans="1:6" s="134" customFormat="1" ht="12.5" x14ac:dyDescent="0.25">
      <c r="A232" s="127"/>
      <c r="B232" s="113"/>
      <c r="C232" s="114"/>
      <c r="D232" s="114"/>
      <c r="E232" s="115"/>
      <c r="F232" s="130"/>
    </row>
    <row r="233" spans="1:6" s="135" customFormat="1" ht="12.5" x14ac:dyDescent="0.25">
      <c r="A233" s="127" t="s">
        <v>347</v>
      </c>
      <c r="B233" s="113">
        <f>+(471+55)</f>
        <v>526</v>
      </c>
      <c r="C233" s="114" t="s">
        <v>348</v>
      </c>
      <c r="D233" s="114" t="s">
        <v>173</v>
      </c>
      <c r="E233" s="115" t="s">
        <v>174</v>
      </c>
      <c r="F233" s="130"/>
    </row>
    <row r="234" spans="1:6" s="135" customFormat="1" ht="12.5" x14ac:dyDescent="0.25">
      <c r="A234" s="127">
        <v>45808</v>
      </c>
      <c r="B234" s="113">
        <v>34</v>
      </c>
      <c r="C234" s="114" t="s">
        <v>349</v>
      </c>
      <c r="D234" s="114"/>
      <c r="E234" s="115"/>
      <c r="F234" s="130"/>
    </row>
    <row r="235" spans="1:6" s="135" customFormat="1" ht="12.5" x14ac:dyDescent="0.25">
      <c r="A235" s="127"/>
      <c r="B235" s="113"/>
      <c r="C235" s="114"/>
      <c r="D235" s="114"/>
      <c r="E235" s="115"/>
      <c r="F235" s="130"/>
    </row>
    <row r="236" spans="1:6" s="135" customFormat="1" ht="12.5" x14ac:dyDescent="0.25">
      <c r="A236" s="112" t="s">
        <v>350</v>
      </c>
      <c r="B236" s="113">
        <f>(445.36+197)</f>
        <v>642.36</v>
      </c>
      <c r="C236" s="114" t="s">
        <v>351</v>
      </c>
      <c r="D236" s="114" t="s">
        <v>352</v>
      </c>
      <c r="E236" s="115" t="s">
        <v>174</v>
      </c>
      <c r="F236" s="130"/>
    </row>
    <row r="237" spans="1:6" s="135" customFormat="1" ht="12.5" x14ac:dyDescent="0.25">
      <c r="A237" s="112" t="s">
        <v>350</v>
      </c>
      <c r="B237" s="113">
        <v>461.22</v>
      </c>
      <c r="C237" s="114" t="s">
        <v>353</v>
      </c>
      <c r="D237" s="114" t="s">
        <v>314</v>
      </c>
      <c r="E237" s="115" t="s">
        <v>170</v>
      </c>
      <c r="F237" s="130"/>
    </row>
    <row r="238" spans="1:6" s="135" customFormat="1" ht="12.5" x14ac:dyDescent="0.25">
      <c r="A238" s="112" t="s">
        <v>350</v>
      </c>
      <c r="B238" s="113">
        <f>(56.1+52.67+24.45+52.77)</f>
        <v>185.99</v>
      </c>
      <c r="C238" s="114" t="s">
        <v>353</v>
      </c>
      <c r="D238" s="114" t="s">
        <v>354</v>
      </c>
      <c r="E238" s="115"/>
      <c r="F238" s="130"/>
    </row>
    <row r="239" spans="1:6" s="135" customFormat="1" ht="12.5" x14ac:dyDescent="0.25">
      <c r="A239" s="112"/>
      <c r="B239" s="113"/>
      <c r="C239" s="114"/>
      <c r="D239" s="114"/>
      <c r="E239" s="115"/>
      <c r="F239" s="130"/>
    </row>
    <row r="240" spans="1:6" s="135" customFormat="1" ht="12.5" x14ac:dyDescent="0.25">
      <c r="A240" s="127">
        <v>45838</v>
      </c>
      <c r="B240" s="113">
        <v>42</v>
      </c>
      <c r="C240" s="114" t="s">
        <v>349</v>
      </c>
      <c r="D240" s="114"/>
      <c r="E240" s="115"/>
      <c r="F240" s="130"/>
    </row>
    <row r="241" spans="1:6" s="135" customFormat="1" ht="12.5" x14ac:dyDescent="0.25">
      <c r="A241" s="127">
        <v>45838</v>
      </c>
      <c r="B241" s="113">
        <v>40</v>
      </c>
      <c r="C241" s="114" t="s">
        <v>355</v>
      </c>
      <c r="D241" s="114"/>
      <c r="E241" s="115"/>
      <c r="F241" s="130"/>
    </row>
    <row r="242" spans="1:6" s="134" customFormat="1" ht="12.5" x14ac:dyDescent="0.25">
      <c r="A242" s="127"/>
      <c r="B242" s="113"/>
      <c r="C242" s="114"/>
      <c r="D242" s="114"/>
      <c r="E242" s="115"/>
      <c r="F242" s="130"/>
    </row>
    <row r="243" spans="1:6" s="2" customFormat="1" ht="12.5" x14ac:dyDescent="0.25">
      <c r="A243" s="112"/>
      <c r="B243" s="113"/>
      <c r="C243" s="114"/>
      <c r="D243" s="114"/>
      <c r="E243" s="115"/>
      <c r="F243" s="130"/>
    </row>
    <row r="244" spans="1:6" s="2" customFormat="1" ht="12.75" hidden="1" customHeight="1" x14ac:dyDescent="0.25">
      <c r="A244" s="104"/>
      <c r="B244" s="130"/>
      <c r="C244" s="105"/>
      <c r="D244" s="105"/>
      <c r="E244" s="106"/>
      <c r="F244" s="1"/>
    </row>
    <row r="245" spans="1:6" ht="19.5" customHeight="1" x14ac:dyDescent="0.25">
      <c r="A245" s="69" t="s">
        <v>356</v>
      </c>
      <c r="B245" s="138">
        <f>SUM(B35:B244)</f>
        <v>43910.190000000017</v>
      </c>
      <c r="C245" s="123" t="str">
        <f>IF(SUBTOTAL(3,B35:B244)=SUBTOTAL(103,B35:B244),'Summary and sign-off'!$A$48,'Summary and sign-off'!$A$49)</f>
        <v>Check - there are no hidden rows with data</v>
      </c>
      <c r="D245" s="147" t="str">
        <f>IF('Summary and sign-off'!F56='Summary and sign-off'!F54,'Summary and sign-off'!A51,'Summary and sign-off'!A50)</f>
        <v>Not all lines have an entry for "Cost in NZ$" and "Type of expense"</v>
      </c>
      <c r="E245" s="147"/>
      <c r="F245" s="17"/>
    </row>
    <row r="246" spans="1:6" ht="10.5" customHeight="1" x14ac:dyDescent="0.3">
      <c r="A246" s="17"/>
      <c r="B246" s="19"/>
      <c r="C246" s="17"/>
      <c r="D246" s="17"/>
      <c r="E246" s="17"/>
      <c r="F246" s="17"/>
    </row>
    <row r="247" spans="1:6" ht="24.75" customHeight="1" x14ac:dyDescent="0.25">
      <c r="A247" s="149" t="s">
        <v>357</v>
      </c>
      <c r="B247" s="149"/>
      <c r="C247" s="149"/>
      <c r="D247" s="149"/>
      <c r="E247" s="149"/>
      <c r="F247" s="17"/>
    </row>
    <row r="248" spans="1:6" ht="27" customHeight="1" x14ac:dyDescent="0.25">
      <c r="A248" s="24" t="s">
        <v>121</v>
      </c>
      <c r="B248" s="24" t="s">
        <v>65</v>
      </c>
      <c r="C248" s="24" t="s">
        <v>358</v>
      </c>
      <c r="D248" s="24" t="s">
        <v>359</v>
      </c>
      <c r="E248" s="24" t="s">
        <v>125</v>
      </c>
      <c r="F248" s="28"/>
    </row>
    <row r="249" spans="1:6" s="128" customFormat="1" ht="12.5" x14ac:dyDescent="0.25">
      <c r="A249" s="127">
        <v>45486</v>
      </c>
      <c r="B249" s="113">
        <v>8.4499999999999993</v>
      </c>
      <c r="C249" s="114" t="s">
        <v>360</v>
      </c>
      <c r="D249" s="114" t="s">
        <v>194</v>
      </c>
      <c r="E249" s="115" t="s">
        <v>158</v>
      </c>
      <c r="F249" s="130"/>
    </row>
    <row r="250" spans="1:6" s="128" customFormat="1" ht="12.5" x14ac:dyDescent="0.25">
      <c r="A250" s="127">
        <v>45559</v>
      </c>
      <c r="B250" s="113">
        <v>21.47</v>
      </c>
      <c r="C250" s="114" t="s">
        <v>361</v>
      </c>
      <c r="D250" s="114" t="s">
        <v>194</v>
      </c>
      <c r="E250" s="115" t="s">
        <v>158</v>
      </c>
      <c r="F250" s="130"/>
    </row>
    <row r="251" spans="1:6" s="128" customFormat="1" ht="12.5" x14ac:dyDescent="0.25">
      <c r="A251" s="127">
        <v>45597</v>
      </c>
      <c r="B251" s="113">
        <f>19.89</f>
        <v>19.89</v>
      </c>
      <c r="C251" s="114" t="s">
        <v>362</v>
      </c>
      <c r="D251" s="114" t="s">
        <v>194</v>
      </c>
      <c r="E251" s="115" t="s">
        <v>158</v>
      </c>
      <c r="F251" s="130"/>
    </row>
    <row r="252" spans="1:6" s="128" customFormat="1" ht="12.5" x14ac:dyDescent="0.25">
      <c r="A252" s="127">
        <v>45610</v>
      </c>
      <c r="B252" s="113">
        <v>25.43</v>
      </c>
      <c r="C252" s="114" t="s">
        <v>363</v>
      </c>
      <c r="D252" s="114" t="s">
        <v>194</v>
      </c>
      <c r="E252" s="115" t="s">
        <v>158</v>
      </c>
      <c r="F252" s="130"/>
    </row>
    <row r="253" spans="1:6" s="128" customFormat="1" ht="12.5" x14ac:dyDescent="0.25">
      <c r="A253" s="127">
        <v>45617</v>
      </c>
      <c r="B253" s="113">
        <v>9.3000000000000007</v>
      </c>
      <c r="C253" s="114" t="s">
        <v>364</v>
      </c>
      <c r="D253" s="114" t="s">
        <v>194</v>
      </c>
      <c r="E253" s="115" t="s">
        <v>158</v>
      </c>
      <c r="F253" s="130"/>
    </row>
    <row r="254" spans="1:6" s="128" customFormat="1" ht="12.5" x14ac:dyDescent="0.25">
      <c r="A254" s="127">
        <v>45706</v>
      </c>
      <c r="B254" s="113">
        <v>20.54</v>
      </c>
      <c r="C254" s="114" t="s">
        <v>365</v>
      </c>
      <c r="D254" s="114" t="s">
        <v>175</v>
      </c>
      <c r="E254" s="115" t="s">
        <v>158</v>
      </c>
      <c r="F254" s="130"/>
    </row>
    <row r="255" spans="1:6" s="128" customFormat="1" ht="12.5" x14ac:dyDescent="0.25">
      <c r="A255" s="127">
        <v>45728</v>
      </c>
      <c r="B255" s="113">
        <v>23.34</v>
      </c>
      <c r="C255" s="114" t="s">
        <v>366</v>
      </c>
      <c r="D255" s="114" t="s">
        <v>367</v>
      </c>
      <c r="E255" s="115" t="s">
        <v>158</v>
      </c>
      <c r="F255" s="130"/>
    </row>
    <row r="256" spans="1:6" s="128" customFormat="1" ht="12.5" x14ac:dyDescent="0.25">
      <c r="A256" s="127">
        <v>45744</v>
      </c>
      <c r="B256" s="113">
        <v>32.200000000000003</v>
      </c>
      <c r="C256" s="114" t="s">
        <v>368</v>
      </c>
      <c r="D256" s="114" t="s">
        <v>194</v>
      </c>
      <c r="E256" s="115" t="s">
        <v>158</v>
      </c>
      <c r="F256" s="130"/>
    </row>
    <row r="257" spans="1:6" s="128" customFormat="1" ht="12.5" x14ac:dyDescent="0.25">
      <c r="A257" s="127">
        <v>45759</v>
      </c>
      <c r="B257" s="113">
        <v>29.31</v>
      </c>
      <c r="C257" s="114" t="s">
        <v>369</v>
      </c>
      <c r="D257" s="114" t="s">
        <v>367</v>
      </c>
      <c r="E257" s="115" t="s">
        <v>158</v>
      </c>
      <c r="F257" s="130"/>
    </row>
    <row r="258" spans="1:6" s="128" customFormat="1" ht="12.5" x14ac:dyDescent="0.25">
      <c r="A258" s="127">
        <v>45782</v>
      </c>
      <c r="B258" s="113">
        <v>47.52</v>
      </c>
      <c r="C258" s="114" t="s">
        <v>370</v>
      </c>
      <c r="D258" s="114" t="s">
        <v>338</v>
      </c>
      <c r="E258" s="115" t="s">
        <v>158</v>
      </c>
      <c r="F258" s="130"/>
    </row>
    <row r="259" spans="1:6" s="128" customFormat="1" ht="12.5" x14ac:dyDescent="0.25">
      <c r="A259" s="127">
        <v>45790</v>
      </c>
      <c r="B259" s="113">
        <v>46.61</v>
      </c>
      <c r="C259" s="114" t="s">
        <v>371</v>
      </c>
      <c r="D259" s="114" t="s">
        <v>338</v>
      </c>
      <c r="E259" s="115" t="s">
        <v>158</v>
      </c>
      <c r="F259" s="130"/>
    </row>
    <row r="260" spans="1:6" s="128" customFormat="1" ht="12.5" x14ac:dyDescent="0.25">
      <c r="A260" s="127">
        <v>45792</v>
      </c>
      <c r="B260" s="113">
        <v>15.39</v>
      </c>
      <c r="C260" s="114" t="s">
        <v>372</v>
      </c>
      <c r="D260" s="114" t="s">
        <v>186</v>
      </c>
      <c r="E260" s="115" t="s">
        <v>158</v>
      </c>
      <c r="F260" s="130"/>
    </row>
    <row r="261" spans="1:6" s="2" customFormat="1" ht="12.5" x14ac:dyDescent="0.25">
      <c r="A261" s="127"/>
      <c r="B261" s="113"/>
      <c r="C261" s="114"/>
      <c r="D261" s="114"/>
      <c r="E261" s="115"/>
      <c r="F261" s="130"/>
    </row>
    <row r="262" spans="1:6" s="2" customFormat="1" ht="12.5" x14ac:dyDescent="0.25">
      <c r="A262" s="112"/>
      <c r="B262" s="113"/>
      <c r="C262" s="114"/>
      <c r="D262" s="114"/>
      <c r="E262" s="115"/>
      <c r="F262" s="130"/>
    </row>
    <row r="263" spans="1:6" s="2" customFormat="1" ht="12.75" hidden="1" customHeight="1" x14ac:dyDescent="0.25">
      <c r="A263" s="91"/>
      <c r="B263" s="130"/>
      <c r="C263" s="93"/>
      <c r="D263" s="93"/>
      <c r="E263" s="94"/>
      <c r="F263" s="1"/>
    </row>
    <row r="264" spans="1:6" ht="19.5" customHeight="1" x14ac:dyDescent="0.25">
      <c r="A264" s="69" t="s">
        <v>373</v>
      </c>
      <c r="B264" s="138">
        <f>SUM(B249:B263)</f>
        <v>299.45</v>
      </c>
      <c r="C264" s="123" t="str">
        <f>IF(SUBTOTAL(3,B249:B263)=SUBTOTAL(103,B249:B263),'Summary and sign-off'!$A$48,'Summary and sign-off'!$A$49)</f>
        <v>Check - there are no hidden rows with data</v>
      </c>
      <c r="D264" s="147" t="str">
        <f>IF('Summary and sign-off'!F57='Summary and sign-off'!F54,'Summary and sign-off'!A51,'Summary and sign-off'!A50)</f>
        <v>Check - each entry provides sufficient information</v>
      </c>
      <c r="E264" s="147"/>
      <c r="F264" s="17"/>
    </row>
    <row r="265" spans="1:6" ht="10.5" customHeight="1" x14ac:dyDescent="0.3">
      <c r="A265" s="17"/>
      <c r="B265" s="137"/>
      <c r="C265" s="19"/>
      <c r="D265" s="17"/>
      <c r="E265" s="17"/>
      <c r="F265" s="17"/>
    </row>
    <row r="266" spans="1:6" ht="34.5" customHeight="1" x14ac:dyDescent="0.25">
      <c r="A266" s="31" t="s">
        <v>374</v>
      </c>
      <c r="B266" s="139">
        <f>B31+B245+B264</f>
        <v>94812.519576587816</v>
      </c>
      <c r="C266" s="32"/>
      <c r="D266" s="32"/>
      <c r="E266" s="32"/>
      <c r="F266" s="17"/>
    </row>
    <row r="267" spans="1:6" ht="13" x14ac:dyDescent="0.3">
      <c r="A267" s="17"/>
      <c r="B267" s="19"/>
      <c r="C267" s="17"/>
      <c r="D267" s="17"/>
      <c r="E267" s="17"/>
      <c r="F267" s="17"/>
    </row>
    <row r="268" spans="1:6" ht="13" x14ac:dyDescent="0.3">
      <c r="A268" s="18" t="s">
        <v>76</v>
      </c>
      <c r="B268" s="19"/>
      <c r="C268" s="17"/>
      <c r="D268" s="17"/>
      <c r="E268" s="17"/>
      <c r="F268" s="17"/>
    </row>
    <row r="269" spans="1:6" ht="12.75" customHeight="1" x14ac:dyDescent="0.25">
      <c r="A269" s="20" t="s">
        <v>375</v>
      </c>
      <c r="F269" s="17"/>
    </row>
    <row r="270" spans="1:6" ht="13" customHeight="1" x14ac:dyDescent="0.25">
      <c r="A270" s="20" t="s">
        <v>376</v>
      </c>
      <c r="B270" s="17"/>
      <c r="D270" s="17"/>
      <c r="F270" s="17"/>
    </row>
    <row r="271" spans="1:6" ht="12.5" x14ac:dyDescent="0.25">
      <c r="A271" s="20" t="s">
        <v>377</v>
      </c>
      <c r="F271" s="17"/>
    </row>
    <row r="272" spans="1:6" ht="13" x14ac:dyDescent="0.3">
      <c r="A272" s="20" t="s">
        <v>82</v>
      </c>
      <c r="B272" s="19"/>
      <c r="C272" s="17"/>
      <c r="D272" s="17"/>
      <c r="E272" s="17"/>
      <c r="F272" s="17"/>
    </row>
    <row r="273" spans="1:6" ht="13" customHeight="1" x14ac:dyDescent="0.25">
      <c r="A273" s="20" t="s">
        <v>378</v>
      </c>
      <c r="B273" s="17"/>
      <c r="D273" s="17"/>
      <c r="F273" s="17"/>
    </row>
    <row r="274" spans="1:6" ht="12.5" x14ac:dyDescent="0.25">
      <c r="A274" s="20" t="s">
        <v>379</v>
      </c>
      <c r="F274" s="17"/>
    </row>
    <row r="275" spans="1:6" ht="12.5" x14ac:dyDescent="0.25">
      <c r="A275" s="20" t="s">
        <v>380</v>
      </c>
      <c r="B275" s="20"/>
      <c r="C275" s="20"/>
      <c r="D275" s="20"/>
      <c r="F275" s="17"/>
    </row>
    <row r="276" spans="1:6" ht="12.5" x14ac:dyDescent="0.25">
      <c r="A276" s="26"/>
      <c r="B276" s="17"/>
      <c r="C276" s="17"/>
      <c r="D276" s="17"/>
      <c r="E276" s="17"/>
      <c r="F276" s="17"/>
    </row>
    <row r="277" spans="1:6" ht="12.75" hidden="1" customHeight="1" x14ac:dyDescent="0.25">
      <c r="A277" s="26"/>
      <c r="B277" s="17"/>
      <c r="C277" s="17"/>
      <c r="D277" s="17"/>
      <c r="E277" s="17"/>
      <c r="F277" s="17"/>
    </row>
    <row r="278" spans="1:6" ht="12.5" x14ac:dyDescent="0.25"/>
    <row r="279" spans="1:6" ht="12.5" x14ac:dyDescent="0.25"/>
    <row r="280" spans="1:6" ht="12.5" x14ac:dyDescent="0.25"/>
    <row r="281" spans="1:6" ht="12.5" x14ac:dyDescent="0.25"/>
    <row r="283" spans="1:6" ht="12.5" x14ac:dyDescent="0.25"/>
    <row r="284" spans="1:6" ht="12.5" x14ac:dyDescent="0.25"/>
    <row r="285" spans="1:6" ht="12.75" hidden="1" customHeight="1" x14ac:dyDescent="0.25">
      <c r="A285" s="26"/>
      <c r="B285" s="17"/>
      <c r="C285" s="17"/>
      <c r="D285" s="17"/>
      <c r="E285" s="17"/>
      <c r="F285" s="17"/>
    </row>
    <row r="286" spans="1:6" ht="12.75" hidden="1" customHeight="1" x14ac:dyDescent="0.25">
      <c r="A286" s="26"/>
      <c r="B286" s="17"/>
      <c r="C286" s="17"/>
      <c r="D286" s="17"/>
      <c r="E286" s="17"/>
      <c r="F286" s="17"/>
    </row>
    <row r="287" spans="1:6" ht="12.75" hidden="1" customHeight="1" x14ac:dyDescent="0.25">
      <c r="A287" s="26"/>
      <c r="B287" s="17"/>
      <c r="C287" s="17"/>
      <c r="D287" s="17"/>
      <c r="E287" s="17"/>
      <c r="F287" s="17"/>
    </row>
    <row r="288" spans="1:6" ht="12.75" hidden="1" customHeight="1" x14ac:dyDescent="0.25">
      <c r="A288" s="26"/>
      <c r="B288" s="17"/>
      <c r="C288" s="17"/>
      <c r="D288" s="17"/>
      <c r="E288" s="17"/>
      <c r="F288" s="17"/>
    </row>
    <row r="289" spans="1:6" ht="12.75" hidden="1" customHeight="1" x14ac:dyDescent="0.25">
      <c r="A289" s="26"/>
      <c r="B289" s="17"/>
      <c r="C289" s="17"/>
      <c r="D289" s="17"/>
      <c r="E289" s="17"/>
      <c r="F289" s="17"/>
    </row>
    <row r="290" spans="1:6" ht="12.5" x14ac:dyDescent="0.25"/>
    <row r="291" spans="1:6" ht="12.5" x14ac:dyDescent="0.25"/>
    <row r="292" spans="1:6" ht="12.5" x14ac:dyDescent="0.25"/>
    <row r="293" spans="1:6" ht="12.5" x14ac:dyDescent="0.25"/>
    <row r="294" spans="1:6" ht="12.5" x14ac:dyDescent="0.25"/>
    <row r="295" spans="1:6" ht="12.5" x14ac:dyDescent="0.25"/>
    <row r="296" spans="1:6" ht="12.5" x14ac:dyDescent="0.25"/>
    <row r="297" spans="1:6" ht="12.5" x14ac:dyDescent="0.25"/>
    <row r="298" spans="1:6" ht="12.5" x14ac:dyDescent="0.25"/>
    <row r="299" spans="1:6" ht="12.5" x14ac:dyDescent="0.25"/>
    <row r="300" spans="1:6" ht="12.5" x14ac:dyDescent="0.25"/>
    <row r="301" spans="1:6" ht="12.5" x14ac:dyDescent="0.25"/>
    <row r="302" spans="1:6" ht="12.5" x14ac:dyDescent="0.25"/>
    <row r="303" spans="1:6" ht="12.5" x14ac:dyDescent="0.25"/>
    <row r="304" spans="1:6" ht="12.5" x14ac:dyDescent="0.25"/>
    <row r="305" customFormat="1" ht="12.5" x14ac:dyDescent="0.25"/>
    <row r="306" customFormat="1" ht="12.5" x14ac:dyDescent="0.25"/>
    <row r="307" customFormat="1" ht="12.5" x14ac:dyDescent="0.25"/>
    <row r="308" customFormat="1" ht="12.5" x14ac:dyDescent="0.25"/>
    <row r="309" customFormat="1" ht="12.5" x14ac:dyDescent="0.25"/>
    <row r="310" customFormat="1" ht="12.5" x14ac:dyDescent="0.25"/>
    <row r="311" customFormat="1" ht="12.5" x14ac:dyDescent="0.25"/>
    <row r="312" customFormat="1" ht="12.5" x14ac:dyDescent="0.25"/>
    <row r="313" customFormat="1" ht="12.5" x14ac:dyDescent="0.25"/>
    <row r="314" customFormat="1" ht="12.5" x14ac:dyDescent="0.25"/>
    <row r="315" customFormat="1" ht="12.5" x14ac:dyDescent="0.25"/>
    <row r="316" customFormat="1" ht="12.5" x14ac:dyDescent="0.25"/>
    <row r="317" customFormat="1" ht="12.5" x14ac:dyDescent="0.25"/>
    <row r="318" customFormat="1" ht="12.5" x14ac:dyDescent="0.25"/>
    <row r="319" customFormat="1" ht="12.5" x14ac:dyDescent="0.25"/>
    <row r="320" customFormat="1" ht="12.5" x14ac:dyDescent="0.25"/>
    <row r="321" customFormat="1" ht="12.5" x14ac:dyDescent="0.25"/>
    <row r="322" customFormat="1" ht="12.5" x14ac:dyDescent="0.25"/>
    <row r="323" customFormat="1" ht="12.5" x14ac:dyDescent="0.25"/>
    <row r="324" customFormat="1" ht="12.5" x14ac:dyDescent="0.25"/>
    <row r="325" customFormat="1" ht="12.5" x14ac:dyDescent="0.25"/>
    <row r="326" customFormat="1" ht="12.5" x14ac:dyDescent="0.25"/>
    <row r="327" customFormat="1" ht="12.5" x14ac:dyDescent="0.25"/>
    <row r="328" customFormat="1" ht="12.5" x14ac:dyDescent="0.25"/>
    <row r="329" customFormat="1" ht="12.5" x14ac:dyDescent="0.25"/>
    <row r="330" customFormat="1" ht="12.5" x14ac:dyDescent="0.25"/>
    <row r="331" customFormat="1" ht="12.5" x14ac:dyDescent="0.25"/>
    <row r="332" customFormat="1" ht="12.5" x14ac:dyDescent="0.25"/>
    <row r="333" customFormat="1" ht="12.5" x14ac:dyDescent="0.25"/>
    <row r="334" customFormat="1" ht="12.5" x14ac:dyDescent="0.25"/>
    <row r="335" customFormat="1" ht="12.5" x14ac:dyDescent="0.25"/>
    <row r="336" customFormat="1" ht="12.5" x14ac:dyDescent="0.25"/>
    <row r="337" customFormat="1" ht="12.5" x14ac:dyDescent="0.25"/>
    <row r="338" customFormat="1" ht="12.5" x14ac:dyDescent="0.25"/>
    <row r="339" customFormat="1" ht="12.5" x14ac:dyDescent="0.25"/>
    <row r="340" customFormat="1" ht="12.5" x14ac:dyDescent="0.25"/>
    <row r="341" customFormat="1" ht="12.5" x14ac:dyDescent="0.25"/>
    <row r="342" customFormat="1" ht="12.5" x14ac:dyDescent="0.25"/>
    <row r="343" customFormat="1" ht="12.5" x14ac:dyDescent="0.25"/>
    <row r="344" customFormat="1" ht="12.5" x14ac:dyDescent="0.25"/>
    <row r="345" customFormat="1" ht="12.5" x14ac:dyDescent="0.25"/>
    <row r="346" customFormat="1" ht="12.5" x14ac:dyDescent="0.25"/>
    <row r="347" customFormat="1" ht="12.5" x14ac:dyDescent="0.25"/>
    <row r="348" customFormat="1" ht="12.5" x14ac:dyDescent="0.25"/>
    <row r="349" customFormat="1" ht="12.5" x14ac:dyDescent="0.25"/>
    <row r="350" customFormat="1" ht="12.5" x14ac:dyDescent="0.25"/>
    <row r="351" customFormat="1" ht="12.5" x14ac:dyDescent="0.25"/>
    <row r="352" customFormat="1" ht="12.5" x14ac:dyDescent="0.25"/>
    <row r="353" customFormat="1" ht="12.5" x14ac:dyDescent="0.25"/>
    <row r="354" customFormat="1" ht="12.5" x14ac:dyDescent="0.25"/>
    <row r="355" customFormat="1" ht="12.5" x14ac:dyDescent="0.25"/>
    <row r="356" customFormat="1" ht="12.5" x14ac:dyDescent="0.25"/>
    <row r="357" customFormat="1" ht="12.5" x14ac:dyDescent="0.25"/>
    <row r="358" customFormat="1" ht="12.5" x14ac:dyDescent="0.25"/>
    <row r="359" customFormat="1" ht="12.5" x14ac:dyDescent="0.25"/>
    <row r="360" customFormat="1" ht="12.5" x14ac:dyDescent="0.25"/>
    <row r="361" customFormat="1" ht="12.5" x14ac:dyDescent="0.25"/>
    <row r="362" customFormat="1" ht="12.5" x14ac:dyDescent="0.25"/>
    <row r="363" customFormat="1" ht="12.5" x14ac:dyDescent="0.25"/>
    <row r="364" customFormat="1" ht="12.5" x14ac:dyDescent="0.25"/>
    <row r="365" customFormat="1" ht="12.5" x14ac:dyDescent="0.25"/>
    <row r="366" customFormat="1"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75" customHeight="1" x14ac:dyDescent="0.25"/>
  </sheetData>
  <sheetProtection sheet="1" formatCells="0" formatRows="0" insertColumns="0" insertRows="0" deleteRows="0"/>
  <mergeCells count="15">
    <mergeCell ref="B7:E7"/>
    <mergeCell ref="B5:E5"/>
    <mergeCell ref="D264:E264"/>
    <mergeCell ref="A1:E1"/>
    <mergeCell ref="A33:E33"/>
    <mergeCell ref="A247:E247"/>
    <mergeCell ref="B2:E2"/>
    <mergeCell ref="B3:E3"/>
    <mergeCell ref="B4:E4"/>
    <mergeCell ref="A8:E8"/>
    <mergeCell ref="A9:E9"/>
    <mergeCell ref="B6:E6"/>
    <mergeCell ref="D31:E31"/>
    <mergeCell ref="D245:E245"/>
    <mergeCell ref="A10:E10"/>
  </mergeCells>
  <phoneticPr fontId="40" type="noConversion"/>
  <dataValidations xWindow="153" yWindow="76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5 A243:A244 A30 A263 A12:A2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48 A3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6:A50 A52:A242 A249:A262 A23: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3" yWindow="76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B35:B244 B249:B263 B12:B30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8" t="s">
        <v>112</v>
      </c>
      <c r="B1" s="148"/>
      <c r="C1" s="148"/>
      <c r="D1" s="148"/>
      <c r="E1" s="148"/>
    </row>
    <row r="2" spans="1:6" ht="21" customHeight="1" x14ac:dyDescent="0.25">
      <c r="A2" s="3" t="s">
        <v>113</v>
      </c>
      <c r="B2" s="146" t="str">
        <f>'Summary and sign-off'!B2:F2</f>
        <v>Sport NZ</v>
      </c>
      <c r="C2" s="146"/>
      <c r="D2" s="146"/>
      <c r="E2" s="146"/>
    </row>
    <row r="3" spans="1:6" ht="31" x14ac:dyDescent="0.25">
      <c r="A3" s="3" t="s">
        <v>114</v>
      </c>
      <c r="B3" s="146" t="str">
        <f>'Summary and sign-off'!B3:F3</f>
        <v>Raelene Castle</v>
      </c>
      <c r="C3" s="146"/>
      <c r="D3" s="146"/>
      <c r="E3" s="146"/>
    </row>
    <row r="4" spans="1:6" ht="21" customHeight="1" x14ac:dyDescent="0.25">
      <c r="A4" s="3" t="s">
        <v>115</v>
      </c>
      <c r="B4" s="146">
        <f>'Summary and sign-off'!B4:F4</f>
        <v>45474</v>
      </c>
      <c r="C4" s="146"/>
      <c r="D4" s="146"/>
      <c r="E4" s="146"/>
    </row>
    <row r="5" spans="1:6" ht="21" customHeight="1" x14ac:dyDescent="0.25">
      <c r="A5" s="3" t="s">
        <v>116</v>
      </c>
      <c r="B5" s="146">
        <f>'Summary and sign-off'!B5:F5</f>
        <v>45838</v>
      </c>
      <c r="C5" s="146"/>
      <c r="D5" s="146"/>
      <c r="E5" s="146"/>
    </row>
    <row r="6" spans="1:6" ht="21" customHeight="1" x14ac:dyDescent="0.25">
      <c r="A6" s="3" t="s">
        <v>117</v>
      </c>
      <c r="B6" s="141" t="s">
        <v>84</v>
      </c>
      <c r="C6" s="141"/>
      <c r="D6" s="141"/>
      <c r="E6" s="141"/>
    </row>
    <row r="7" spans="1:6" ht="21" customHeight="1" x14ac:dyDescent="0.25">
      <c r="A7" s="3" t="s">
        <v>58</v>
      </c>
      <c r="B7" s="141" t="s">
        <v>86</v>
      </c>
      <c r="C7" s="141"/>
      <c r="D7" s="141"/>
      <c r="E7" s="141"/>
    </row>
    <row r="8" spans="1:6" ht="35.25" customHeight="1" x14ac:dyDescent="0.35">
      <c r="A8" s="157" t="s">
        <v>381</v>
      </c>
      <c r="B8" s="157"/>
      <c r="C8" s="158"/>
      <c r="D8" s="158"/>
      <c r="E8" s="158"/>
      <c r="F8" s="27"/>
    </row>
    <row r="9" spans="1:6" ht="35.25" customHeight="1" x14ac:dyDescent="0.35">
      <c r="A9" s="155" t="s">
        <v>382</v>
      </c>
      <c r="B9" s="156"/>
      <c r="C9" s="156"/>
      <c r="D9" s="156"/>
      <c r="E9" s="156"/>
      <c r="F9" s="27"/>
    </row>
    <row r="10" spans="1:6" ht="27" customHeight="1" x14ac:dyDescent="0.25">
      <c r="A10" s="24" t="s">
        <v>383</v>
      </c>
      <c r="B10" s="24" t="s">
        <v>65</v>
      </c>
      <c r="C10" s="24" t="s">
        <v>384</v>
      </c>
      <c r="D10" s="24" t="s">
        <v>385</v>
      </c>
      <c r="E10" s="24" t="s">
        <v>125</v>
      </c>
      <c r="F10" s="20"/>
    </row>
    <row r="11" spans="1:6" s="128" customFormat="1" x14ac:dyDescent="0.25">
      <c r="A11" s="116">
        <v>45475</v>
      </c>
      <c r="B11" s="113">
        <v>33.04</v>
      </c>
      <c r="C11" s="117" t="s">
        <v>386</v>
      </c>
      <c r="D11" s="117" t="s">
        <v>387</v>
      </c>
      <c r="E11" s="118" t="s">
        <v>169</v>
      </c>
      <c r="F11" s="128" t="s">
        <v>146</v>
      </c>
    </row>
    <row r="12" spans="1:6" s="128" customFormat="1" x14ac:dyDescent="0.25">
      <c r="A12" s="112">
        <v>45489</v>
      </c>
      <c r="B12" s="113">
        <v>57.01</v>
      </c>
      <c r="C12" s="117" t="s">
        <v>388</v>
      </c>
      <c r="D12" s="117" t="s">
        <v>387</v>
      </c>
      <c r="E12" s="118" t="s">
        <v>158</v>
      </c>
      <c r="F12" s="128" t="s">
        <v>146</v>
      </c>
    </row>
    <row r="13" spans="1:6" s="128" customFormat="1" x14ac:dyDescent="0.25">
      <c r="A13" s="112">
        <v>45576</v>
      </c>
      <c r="B13" s="113">
        <v>52.07</v>
      </c>
      <c r="C13" s="117" t="s">
        <v>389</v>
      </c>
      <c r="D13" s="117" t="s">
        <v>387</v>
      </c>
      <c r="E13" s="118" t="s">
        <v>158</v>
      </c>
      <c r="F13" s="113" t="s">
        <v>146</v>
      </c>
    </row>
    <row r="14" spans="1:6" s="128" customFormat="1" x14ac:dyDescent="0.25">
      <c r="A14" s="112">
        <v>45723</v>
      </c>
      <c r="B14" s="113">
        <v>52.07</v>
      </c>
      <c r="C14" s="117" t="s">
        <v>391</v>
      </c>
      <c r="D14" s="117" t="s">
        <v>387</v>
      </c>
      <c r="E14" s="118" t="s">
        <v>158</v>
      </c>
      <c r="F14" s="128" t="s">
        <v>146</v>
      </c>
    </row>
    <row r="15" spans="1:6" s="128" customFormat="1" x14ac:dyDescent="0.25">
      <c r="A15" s="112">
        <v>45758</v>
      </c>
      <c r="B15" s="113">
        <v>32.369999999999997</v>
      </c>
      <c r="C15" s="117" t="s">
        <v>392</v>
      </c>
      <c r="D15" s="117" t="s">
        <v>387</v>
      </c>
      <c r="E15" s="118" t="s">
        <v>158</v>
      </c>
      <c r="F15" s="128" t="s">
        <v>146</v>
      </c>
    </row>
    <row r="16" spans="1:6" s="128" customFormat="1" x14ac:dyDescent="0.25">
      <c r="A16" s="112">
        <v>45782</v>
      </c>
      <c r="B16" s="113">
        <v>397.07</v>
      </c>
      <c r="C16" s="117" t="s">
        <v>445</v>
      </c>
      <c r="D16" s="117" t="s">
        <v>393</v>
      </c>
      <c r="E16" s="118" t="s">
        <v>158</v>
      </c>
      <c r="F16" s="128" t="s">
        <v>146</v>
      </c>
    </row>
    <row r="17" spans="1:6" s="128" customFormat="1" x14ac:dyDescent="0.25">
      <c r="A17" s="112">
        <v>45785</v>
      </c>
      <c r="B17" s="113">
        <v>41.74</v>
      </c>
      <c r="C17" s="117" t="s">
        <v>394</v>
      </c>
      <c r="D17" s="117" t="s">
        <v>390</v>
      </c>
      <c r="E17" s="118" t="s">
        <v>158</v>
      </c>
      <c r="F17" s="128" t="s">
        <v>146</v>
      </c>
    </row>
    <row r="18" spans="1:6" s="128" customFormat="1" x14ac:dyDescent="0.25">
      <c r="A18" s="112">
        <v>45814</v>
      </c>
      <c r="B18" s="113">
        <v>37.39</v>
      </c>
      <c r="C18" s="117" t="s">
        <v>395</v>
      </c>
      <c r="D18" s="117" t="s">
        <v>387</v>
      </c>
      <c r="E18" s="118" t="s">
        <v>158</v>
      </c>
      <c r="F18" s="128" t="s">
        <v>146</v>
      </c>
    </row>
    <row r="19" spans="1:6" s="2" customFormat="1" x14ac:dyDescent="0.25">
      <c r="A19" s="116"/>
      <c r="B19" s="113"/>
      <c r="C19" s="117"/>
      <c r="D19" s="117"/>
      <c r="E19" s="118"/>
    </row>
    <row r="20" spans="1:6" s="2" customFormat="1" ht="11.25" hidden="1" customHeight="1" x14ac:dyDescent="0.25">
      <c r="A20" s="95"/>
      <c r="B20" s="92"/>
      <c r="C20" s="96"/>
      <c r="D20" s="96"/>
      <c r="E20" s="97"/>
    </row>
    <row r="21" spans="1:6" ht="34.5" customHeight="1" x14ac:dyDescent="0.25">
      <c r="A21" s="53" t="s">
        <v>396</v>
      </c>
      <c r="B21" s="60">
        <f>SUM(B11:B20)</f>
        <v>702.76</v>
      </c>
      <c r="C21" s="68" t="str">
        <f>IF(SUBTOTAL(3,B11:B20)=SUBTOTAL(103,B11:B20),'Summary and sign-off'!$A$48,'Summary and sign-off'!$A$49)</f>
        <v>Check - there are no hidden rows with data</v>
      </c>
      <c r="D21" s="154" t="str">
        <f>IF('Summary and sign-off'!F58='Summary and sign-off'!F54,'Summary and sign-off'!A51,'Summary and sign-off'!A50)</f>
        <v>Check - each entry provides sufficient information</v>
      </c>
      <c r="E21" s="154"/>
      <c r="F21" s="2"/>
    </row>
    <row r="22" spans="1:6" ht="13" x14ac:dyDescent="0.3">
      <c r="A22" s="18"/>
      <c r="B22" s="17"/>
      <c r="C22" s="17"/>
      <c r="D22" s="17"/>
      <c r="E22" s="17"/>
    </row>
    <row r="23" spans="1:6" ht="13" x14ac:dyDescent="0.3">
      <c r="A23" s="18" t="s">
        <v>76</v>
      </c>
      <c r="B23" s="19"/>
      <c r="C23" s="17"/>
      <c r="D23" s="17"/>
      <c r="E23" s="17"/>
    </row>
    <row r="24" spans="1:6" ht="12.75" customHeight="1" x14ac:dyDescent="0.25">
      <c r="A24" s="20" t="s">
        <v>397</v>
      </c>
      <c r="B24" s="20"/>
      <c r="C24" s="20"/>
      <c r="D24" s="20"/>
      <c r="E24" s="20"/>
    </row>
    <row r="25" spans="1:6" x14ac:dyDescent="0.25">
      <c r="A25" s="20" t="s">
        <v>398</v>
      </c>
      <c r="B25" s="20"/>
      <c r="C25" s="28"/>
      <c r="D25" s="28"/>
      <c r="E25" s="28"/>
    </row>
    <row r="26" spans="1:6" ht="13" x14ac:dyDescent="0.3">
      <c r="A26" s="20" t="s">
        <v>82</v>
      </c>
      <c r="B26" s="19"/>
      <c r="C26" s="17"/>
      <c r="D26" s="17"/>
      <c r="E26" s="17"/>
      <c r="F26" s="17"/>
    </row>
    <row r="27" spans="1:6" x14ac:dyDescent="0.25">
      <c r="A27" s="20" t="s">
        <v>399</v>
      </c>
      <c r="B27" s="20"/>
      <c r="C27" s="28"/>
      <c r="D27" s="28"/>
      <c r="E27" s="28"/>
    </row>
    <row r="28" spans="1:6" ht="12.75" customHeight="1" x14ac:dyDescent="0.25">
      <c r="A28" s="20" t="s">
        <v>400</v>
      </c>
      <c r="B28" s="20"/>
      <c r="C28" s="22"/>
      <c r="D28" s="22"/>
      <c r="E28" s="22"/>
    </row>
    <row r="29" spans="1:6" x14ac:dyDescent="0.25">
      <c r="A29" s="17"/>
      <c r="B29" s="17"/>
      <c r="C29" s="17"/>
      <c r="D29" s="17"/>
      <c r="E29" s="17"/>
    </row>
    <row r="30" spans="1:6" x14ac:dyDescent="0.25"/>
    <row r="31" spans="1:6" x14ac:dyDescent="0.25"/>
    <row r="32" spans="1:6" x14ac:dyDescent="0.25"/>
    <row r="33" x14ac:dyDescent="0.25"/>
    <row r="34" x14ac:dyDescent="0.25"/>
  </sheetData>
  <sheetProtection sheet="1" formatCells="0" insertRows="0" deleteRows="0"/>
  <mergeCells count="10">
    <mergeCell ref="D21:E21"/>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3"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8" t="s">
        <v>112</v>
      </c>
      <c r="B1" s="148"/>
      <c r="C1" s="148"/>
      <c r="D1" s="148"/>
      <c r="E1" s="148"/>
    </row>
    <row r="2" spans="1:6" ht="21" customHeight="1" x14ac:dyDescent="0.25">
      <c r="A2" s="3" t="s">
        <v>113</v>
      </c>
      <c r="B2" s="146" t="str">
        <f>'Summary and sign-off'!B2:F2</f>
        <v>Sport NZ</v>
      </c>
      <c r="C2" s="146"/>
      <c r="D2" s="146"/>
      <c r="E2" s="146"/>
    </row>
    <row r="3" spans="1:6" ht="31" x14ac:dyDescent="0.25">
      <c r="A3" s="3" t="s">
        <v>401</v>
      </c>
      <c r="B3" s="146" t="str">
        <f>'Summary and sign-off'!B3:F3</f>
        <v>Raelene Castle</v>
      </c>
      <c r="C3" s="146"/>
      <c r="D3" s="146"/>
      <c r="E3" s="146"/>
    </row>
    <row r="4" spans="1:6" ht="21" customHeight="1" x14ac:dyDescent="0.25">
      <c r="A4" s="3" t="s">
        <v>115</v>
      </c>
      <c r="B4" s="146">
        <f>'Summary and sign-off'!B4:F4</f>
        <v>45474</v>
      </c>
      <c r="C4" s="146"/>
      <c r="D4" s="146"/>
      <c r="E4" s="146"/>
    </row>
    <row r="5" spans="1:6" ht="21" customHeight="1" x14ac:dyDescent="0.25">
      <c r="A5" s="3" t="s">
        <v>116</v>
      </c>
      <c r="B5" s="146">
        <f>'Summary and sign-off'!B5:F5</f>
        <v>45838</v>
      </c>
      <c r="C5" s="146"/>
      <c r="D5" s="146"/>
      <c r="E5" s="146"/>
    </row>
    <row r="6" spans="1:6" ht="21" customHeight="1" x14ac:dyDescent="0.25">
      <c r="A6" s="3" t="s">
        <v>117</v>
      </c>
      <c r="B6" s="141" t="s">
        <v>84</v>
      </c>
      <c r="C6" s="141"/>
      <c r="D6" s="141"/>
      <c r="E6" s="141"/>
      <c r="F6" s="23"/>
    </row>
    <row r="7" spans="1:6" ht="21" customHeight="1" x14ac:dyDescent="0.25">
      <c r="A7" s="3" t="s">
        <v>58</v>
      </c>
      <c r="B7" s="141" t="s">
        <v>86</v>
      </c>
      <c r="C7" s="141"/>
      <c r="D7" s="141"/>
      <c r="E7" s="141"/>
      <c r="F7" s="23"/>
    </row>
    <row r="8" spans="1:6" ht="35.25" customHeight="1" x14ac:dyDescent="0.25">
      <c r="A8" s="151" t="s">
        <v>402</v>
      </c>
      <c r="B8" s="151"/>
      <c r="C8" s="158"/>
      <c r="D8" s="158"/>
      <c r="E8" s="158"/>
    </row>
    <row r="9" spans="1:6" ht="35.25" customHeight="1" x14ac:dyDescent="0.25">
      <c r="A9" s="159" t="s">
        <v>403</v>
      </c>
      <c r="B9" s="160"/>
      <c r="C9" s="160"/>
      <c r="D9" s="160"/>
      <c r="E9" s="160"/>
    </row>
    <row r="10" spans="1:6" ht="27" customHeight="1" x14ac:dyDescent="0.25">
      <c r="A10" s="24" t="s">
        <v>121</v>
      </c>
      <c r="B10" s="24" t="s">
        <v>65</v>
      </c>
      <c r="C10" s="24" t="s">
        <v>404</v>
      </c>
      <c r="D10" s="24" t="s">
        <v>405</v>
      </c>
      <c r="E10" s="24" t="s">
        <v>125</v>
      </c>
      <c r="F10" s="20"/>
    </row>
    <row r="11" spans="1:6" s="2" customFormat="1" hidden="1" x14ac:dyDescent="0.25">
      <c r="A11" s="95"/>
      <c r="B11" s="92"/>
      <c r="C11" s="96"/>
      <c r="D11" s="96"/>
      <c r="E11" s="97"/>
    </row>
    <row r="12" spans="1:6" s="2" customFormat="1" x14ac:dyDescent="0.25">
      <c r="A12" s="112"/>
      <c r="B12" s="113"/>
      <c r="C12" s="117"/>
      <c r="D12" s="117"/>
      <c r="E12" s="118"/>
    </row>
    <row r="13" spans="1:6" s="2" customFormat="1" x14ac:dyDescent="0.25">
      <c r="A13" s="112"/>
      <c r="B13" s="113"/>
      <c r="C13" s="117"/>
      <c r="D13" s="117"/>
      <c r="E13" s="118"/>
    </row>
    <row r="14" spans="1:6" s="2" customFormat="1" x14ac:dyDescent="0.25">
      <c r="A14" s="112"/>
      <c r="B14" s="113"/>
      <c r="C14" s="117"/>
      <c r="D14" s="117"/>
      <c r="E14" s="118"/>
    </row>
    <row r="15" spans="1:6" s="2" customFormat="1" x14ac:dyDescent="0.25">
      <c r="A15" s="112"/>
      <c r="B15" s="113"/>
      <c r="C15" s="117"/>
      <c r="D15" s="117"/>
      <c r="E15" s="118"/>
    </row>
    <row r="16" spans="1:6" s="2" customFormat="1" x14ac:dyDescent="0.25">
      <c r="A16" s="112"/>
      <c r="B16" s="113"/>
      <c r="C16" s="117"/>
      <c r="D16" s="117"/>
      <c r="E16" s="118"/>
    </row>
    <row r="17" spans="1:6" s="2" customFormat="1" x14ac:dyDescent="0.25">
      <c r="A17" s="112"/>
      <c r="B17" s="113"/>
      <c r="C17" s="117"/>
      <c r="D17" s="117"/>
      <c r="E17" s="118"/>
    </row>
    <row r="18" spans="1:6" s="2" customFormat="1" x14ac:dyDescent="0.25">
      <c r="A18" s="112"/>
      <c r="B18" s="113"/>
      <c r="C18" s="117"/>
      <c r="D18" s="117"/>
      <c r="E18" s="118"/>
    </row>
    <row r="19" spans="1:6" s="2" customFormat="1" x14ac:dyDescent="0.25">
      <c r="A19" s="112"/>
      <c r="B19" s="113"/>
      <c r="C19" s="117"/>
      <c r="D19" s="117"/>
      <c r="E19" s="118"/>
    </row>
    <row r="20" spans="1:6" s="2" customFormat="1" x14ac:dyDescent="0.25">
      <c r="A20" s="112"/>
      <c r="B20" s="113"/>
      <c r="C20" s="117"/>
      <c r="D20" s="117"/>
      <c r="E20" s="118"/>
    </row>
    <row r="21" spans="1:6" s="2" customFormat="1" x14ac:dyDescent="0.25">
      <c r="A21" s="112"/>
      <c r="B21" s="113"/>
      <c r="C21" s="117"/>
      <c r="D21" s="117"/>
      <c r="E21" s="118"/>
    </row>
    <row r="22" spans="1:6" s="2" customFormat="1" x14ac:dyDescent="0.25">
      <c r="A22" s="116"/>
      <c r="B22" s="113"/>
      <c r="C22" s="117"/>
      <c r="D22" s="117"/>
      <c r="E22" s="118"/>
    </row>
    <row r="23" spans="1:6" s="2" customFormat="1" x14ac:dyDescent="0.25">
      <c r="A23" s="116"/>
      <c r="B23" s="113"/>
      <c r="C23" s="117"/>
      <c r="D23" s="117"/>
      <c r="E23" s="118"/>
    </row>
    <row r="24" spans="1:6" s="2" customFormat="1" hidden="1" x14ac:dyDescent="0.25">
      <c r="A24" s="95"/>
      <c r="B24" s="92"/>
      <c r="C24" s="96"/>
      <c r="D24" s="96"/>
      <c r="E24" s="97"/>
    </row>
    <row r="25" spans="1:6" ht="34.5" customHeight="1" x14ac:dyDescent="0.25">
      <c r="A25" s="53" t="s">
        <v>406</v>
      </c>
      <c r="B25" s="60">
        <f>SUM(B11:B24)</f>
        <v>0</v>
      </c>
      <c r="C25" s="68" t="str">
        <f>IF(SUBTOTAL(3,B11:B24)=SUBTOTAL(103,B11:B24),'Summary and sign-off'!$A$48,'Summary and sign-off'!$A$49)</f>
        <v>Check - there are no hidden rows with data</v>
      </c>
      <c r="D25" s="154" t="str">
        <f>IF('Summary and sign-off'!F59='Summary and sign-off'!F54,'Summary and sign-off'!A51,'Summary and sign-off'!A50)</f>
        <v>Check - each entry provides sufficient information</v>
      </c>
      <c r="E25" s="154"/>
    </row>
    <row r="26" spans="1:6" ht="14.25" customHeight="1" x14ac:dyDescent="0.25">
      <c r="B26" s="17"/>
      <c r="C26" s="17"/>
      <c r="D26" s="17"/>
      <c r="E26" s="17"/>
    </row>
    <row r="27" spans="1:6" ht="13" x14ac:dyDescent="0.3">
      <c r="A27" s="18" t="s">
        <v>407</v>
      </c>
      <c r="B27" s="17"/>
      <c r="C27" s="17"/>
      <c r="D27" s="17"/>
      <c r="E27" s="17"/>
    </row>
    <row r="28" spans="1:6" ht="12.75" customHeight="1" x14ac:dyDescent="0.25">
      <c r="A28" s="20" t="s">
        <v>375</v>
      </c>
      <c r="B28" s="17"/>
      <c r="C28" s="17"/>
      <c r="D28" s="17"/>
      <c r="E28" s="17"/>
    </row>
    <row r="29" spans="1:6" ht="13" x14ac:dyDescent="0.3">
      <c r="A29" s="20" t="s">
        <v>82</v>
      </c>
      <c r="B29" s="19"/>
      <c r="C29" s="17"/>
      <c r="D29" s="17"/>
      <c r="E29" s="17"/>
      <c r="F29" s="17"/>
    </row>
    <row r="30" spans="1:6" x14ac:dyDescent="0.25">
      <c r="A30" s="20" t="s">
        <v>399</v>
      </c>
      <c r="C30" s="17"/>
      <c r="D30" s="17"/>
      <c r="E30" s="17"/>
      <c r="F30" s="17"/>
    </row>
    <row r="31" spans="1:6" ht="12.75" customHeight="1" x14ac:dyDescent="0.25">
      <c r="A31" s="20" t="s">
        <v>400</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6"/>
  <sheetViews>
    <sheetView topLeftCell="A4" zoomScaleNormal="100" workbookViewId="0">
      <selection activeCell="A15" sqref="A1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8" t="s">
        <v>408</v>
      </c>
      <c r="B1" s="148"/>
      <c r="C1" s="148"/>
      <c r="D1" s="148"/>
      <c r="E1" s="148"/>
      <c r="F1" s="148"/>
    </row>
    <row r="2" spans="1:6" ht="21" customHeight="1" x14ac:dyDescent="0.25">
      <c r="A2" s="3" t="s">
        <v>113</v>
      </c>
      <c r="B2" s="146" t="str">
        <f>'Summary and sign-off'!B2:F2</f>
        <v>Sport NZ</v>
      </c>
      <c r="C2" s="146"/>
      <c r="D2" s="146"/>
      <c r="E2" s="146"/>
      <c r="F2" s="146"/>
    </row>
    <row r="3" spans="1:6" ht="31" x14ac:dyDescent="0.25">
      <c r="A3" s="3" t="s">
        <v>114</v>
      </c>
      <c r="B3" s="146" t="str">
        <f>'Summary and sign-off'!B3:F3</f>
        <v>Raelene Castle</v>
      </c>
      <c r="C3" s="146"/>
      <c r="D3" s="146"/>
      <c r="E3" s="146"/>
      <c r="F3" s="146"/>
    </row>
    <row r="4" spans="1:6" ht="21" customHeight="1" x14ac:dyDescent="0.25">
      <c r="A4" s="3" t="s">
        <v>115</v>
      </c>
      <c r="B4" s="146">
        <f>'Summary and sign-off'!B4:F4</f>
        <v>45474</v>
      </c>
      <c r="C4" s="146"/>
      <c r="D4" s="146"/>
      <c r="E4" s="146"/>
      <c r="F4" s="146"/>
    </row>
    <row r="5" spans="1:6" ht="21" customHeight="1" x14ac:dyDescent="0.25">
      <c r="A5" s="3" t="s">
        <v>116</v>
      </c>
      <c r="B5" s="146">
        <f>'Summary and sign-off'!B5:F5</f>
        <v>45838</v>
      </c>
      <c r="C5" s="146"/>
      <c r="D5" s="146"/>
      <c r="E5" s="146"/>
      <c r="F5" s="146"/>
    </row>
    <row r="6" spans="1:6" ht="21" customHeight="1" x14ac:dyDescent="0.25">
      <c r="A6" s="3" t="s">
        <v>409</v>
      </c>
      <c r="B6" s="141" t="s">
        <v>84</v>
      </c>
      <c r="C6" s="141"/>
      <c r="D6" s="141"/>
      <c r="E6" s="141"/>
      <c r="F6" s="141"/>
    </row>
    <row r="7" spans="1:6" ht="21" customHeight="1" x14ac:dyDescent="0.25">
      <c r="A7" s="3" t="s">
        <v>58</v>
      </c>
      <c r="B7" s="141" t="s">
        <v>86</v>
      </c>
      <c r="C7" s="141"/>
      <c r="D7" s="141"/>
      <c r="E7" s="141"/>
      <c r="F7" s="141"/>
    </row>
    <row r="8" spans="1:6" ht="36" customHeight="1" x14ac:dyDescent="0.25">
      <c r="A8" s="151" t="s">
        <v>410</v>
      </c>
      <c r="B8" s="151"/>
      <c r="C8" s="151"/>
      <c r="D8" s="151"/>
      <c r="E8" s="151"/>
      <c r="F8" s="151"/>
    </row>
    <row r="9" spans="1:6" ht="36" customHeight="1" x14ac:dyDescent="0.25">
      <c r="A9" s="159" t="s">
        <v>411</v>
      </c>
      <c r="B9" s="160"/>
      <c r="C9" s="160"/>
      <c r="D9" s="160"/>
      <c r="E9" s="160"/>
      <c r="F9" s="160"/>
    </row>
    <row r="10" spans="1:6" ht="39" customHeight="1" x14ac:dyDescent="0.25">
      <c r="A10" s="24" t="s">
        <v>121</v>
      </c>
      <c r="B10" s="107" t="s">
        <v>412</v>
      </c>
      <c r="C10" s="107" t="s">
        <v>413</v>
      </c>
      <c r="D10" s="107" t="s">
        <v>414</v>
      </c>
      <c r="E10" s="107" t="s">
        <v>415</v>
      </c>
      <c r="F10" s="107" t="s">
        <v>416</v>
      </c>
    </row>
    <row r="11" spans="1:6" s="2" customFormat="1" x14ac:dyDescent="0.25">
      <c r="A11" s="112">
        <v>45486</v>
      </c>
      <c r="B11" s="117" t="s">
        <v>417</v>
      </c>
      <c r="C11" s="120" t="s">
        <v>99</v>
      </c>
      <c r="D11" s="117" t="s">
        <v>418</v>
      </c>
      <c r="E11" s="121" t="s">
        <v>95</v>
      </c>
      <c r="F11" s="118"/>
    </row>
    <row r="12" spans="1:6" s="2" customFormat="1" x14ac:dyDescent="0.25">
      <c r="A12" s="112">
        <v>45564</v>
      </c>
      <c r="B12" s="117" t="s">
        <v>419</v>
      </c>
      <c r="C12" s="120" t="s">
        <v>99</v>
      </c>
      <c r="D12" s="117" t="s">
        <v>420</v>
      </c>
      <c r="E12" s="121" t="s">
        <v>94</v>
      </c>
      <c r="F12" s="118"/>
    </row>
    <row r="13" spans="1:6" s="2" customFormat="1" x14ac:dyDescent="0.25">
      <c r="A13" s="112">
        <v>45567</v>
      </c>
      <c r="B13" s="119" t="s">
        <v>421</v>
      </c>
      <c r="C13" s="120" t="s">
        <v>100</v>
      </c>
      <c r="D13" s="119" t="s">
        <v>420</v>
      </c>
      <c r="E13" s="121" t="s">
        <v>94</v>
      </c>
      <c r="F13" s="122"/>
    </row>
    <row r="14" spans="1:6" s="2" customFormat="1" x14ac:dyDescent="0.25">
      <c r="A14" s="112">
        <v>45571</v>
      </c>
      <c r="B14" s="119" t="s">
        <v>451</v>
      </c>
      <c r="C14" s="120" t="s">
        <v>99</v>
      </c>
      <c r="D14" s="119" t="s">
        <v>420</v>
      </c>
      <c r="E14" s="121" t="s">
        <v>94</v>
      </c>
      <c r="F14" s="122"/>
    </row>
    <row r="15" spans="1:6" s="2" customFormat="1" x14ac:dyDescent="0.25">
      <c r="A15" s="112">
        <v>45579</v>
      </c>
      <c r="B15" s="119" t="s">
        <v>422</v>
      </c>
      <c r="C15" s="120" t="s">
        <v>99</v>
      </c>
      <c r="D15" s="119" t="s">
        <v>423</v>
      </c>
      <c r="E15" s="121" t="s">
        <v>94</v>
      </c>
      <c r="F15" s="122"/>
    </row>
    <row r="16" spans="1:6" s="2" customFormat="1" x14ac:dyDescent="0.25">
      <c r="A16" s="112">
        <v>45584</v>
      </c>
      <c r="B16" s="119" t="s">
        <v>424</v>
      </c>
      <c r="C16" s="120" t="s">
        <v>99</v>
      </c>
      <c r="D16" s="119" t="s">
        <v>425</v>
      </c>
      <c r="E16" s="121" t="s">
        <v>94</v>
      </c>
      <c r="F16" s="122"/>
    </row>
    <row r="17" spans="1:7" s="2" customFormat="1" x14ac:dyDescent="0.25">
      <c r="A17" s="112">
        <v>45588</v>
      </c>
      <c r="B17" s="119" t="s">
        <v>426</v>
      </c>
      <c r="C17" s="120" t="s">
        <v>99</v>
      </c>
      <c r="D17" s="119" t="s">
        <v>420</v>
      </c>
      <c r="E17" s="121" t="s">
        <v>94</v>
      </c>
      <c r="F17" s="122"/>
    </row>
    <row r="18" spans="1:7" s="2" customFormat="1" x14ac:dyDescent="0.25">
      <c r="A18" s="112">
        <v>45711</v>
      </c>
      <c r="B18" s="119" t="s">
        <v>427</v>
      </c>
      <c r="C18" s="120" t="s">
        <v>99</v>
      </c>
      <c r="D18" s="119" t="s">
        <v>428</v>
      </c>
      <c r="E18" s="121" t="s">
        <v>94</v>
      </c>
      <c r="F18" s="122"/>
    </row>
    <row r="19" spans="1:7" s="2" customFormat="1" x14ac:dyDescent="0.25">
      <c r="A19" s="112">
        <v>45720</v>
      </c>
      <c r="B19" s="119" t="s">
        <v>429</v>
      </c>
      <c r="C19" s="120" t="s">
        <v>99</v>
      </c>
      <c r="D19" s="119" t="s">
        <v>430</v>
      </c>
      <c r="E19" s="121" t="s">
        <v>95</v>
      </c>
      <c r="F19" s="122"/>
    </row>
    <row r="20" spans="1:7" s="2" customFormat="1" x14ac:dyDescent="0.25">
      <c r="A20" s="129">
        <v>45742</v>
      </c>
      <c r="B20" s="119" t="s">
        <v>431</v>
      </c>
      <c r="C20" s="120" t="s">
        <v>99</v>
      </c>
      <c r="D20" s="119" t="s">
        <v>432</v>
      </c>
      <c r="E20" s="121" t="s">
        <v>94</v>
      </c>
      <c r="F20" s="122"/>
    </row>
    <row r="21" spans="1:7" s="2" customFormat="1" x14ac:dyDescent="0.25">
      <c r="A21" s="112">
        <v>45759</v>
      </c>
      <c r="B21" s="119" t="s">
        <v>433</v>
      </c>
      <c r="C21" s="120" t="s">
        <v>99</v>
      </c>
      <c r="D21" s="119" t="s">
        <v>434</v>
      </c>
      <c r="E21" s="121" t="s">
        <v>94</v>
      </c>
      <c r="F21" s="122"/>
    </row>
    <row r="22" spans="1:7" s="2" customFormat="1" x14ac:dyDescent="0.25">
      <c r="A22" s="112">
        <v>45774</v>
      </c>
      <c r="B22" s="119" t="s">
        <v>435</v>
      </c>
      <c r="C22" s="120" t="s">
        <v>99</v>
      </c>
      <c r="D22" s="119" t="s">
        <v>425</v>
      </c>
      <c r="E22" s="121" t="s">
        <v>94</v>
      </c>
      <c r="F22" s="122"/>
    </row>
    <row r="23" spans="1:7" s="2" customFormat="1" x14ac:dyDescent="0.25">
      <c r="A23" s="112">
        <v>45794</v>
      </c>
      <c r="B23" s="119" t="s">
        <v>436</v>
      </c>
      <c r="C23" s="120" t="s">
        <v>99</v>
      </c>
      <c r="D23" s="119" t="s">
        <v>418</v>
      </c>
      <c r="E23" s="121" t="s">
        <v>94</v>
      </c>
      <c r="F23" s="122"/>
    </row>
    <row r="24" spans="1:7" s="2" customFormat="1" x14ac:dyDescent="0.25">
      <c r="A24" s="112"/>
      <c r="B24" s="119"/>
      <c r="C24" s="120"/>
      <c r="D24" s="119"/>
      <c r="E24" s="121"/>
      <c r="F24" s="122"/>
    </row>
    <row r="25" spans="1:7" s="2" customFormat="1" x14ac:dyDescent="0.25">
      <c r="A25" s="112"/>
      <c r="B25" s="119"/>
      <c r="C25" s="120"/>
      <c r="D25" s="119"/>
      <c r="E25" s="121"/>
      <c r="F25" s="122"/>
    </row>
    <row r="26" spans="1:7" s="2" customFormat="1" hidden="1" x14ac:dyDescent="0.25">
      <c r="A26" s="91"/>
      <c r="B26" s="96"/>
      <c r="C26" s="98"/>
      <c r="D26" s="96"/>
      <c r="E26" s="99"/>
      <c r="F26" s="97"/>
    </row>
    <row r="27" spans="1:7" ht="34.5" customHeight="1" x14ac:dyDescent="0.25">
      <c r="A27" s="108" t="s">
        <v>437</v>
      </c>
      <c r="B27" s="109" t="s">
        <v>438</v>
      </c>
      <c r="C27" s="110">
        <f>C28+C29</f>
        <v>13</v>
      </c>
      <c r="D27" s="111" t="str">
        <f>IF(SUBTOTAL(3,C11:C26)=SUBTOTAL(103,C11:C26),'Summary and sign-off'!$A$48,'Summary and sign-off'!$A$49)</f>
        <v>Check - there are no hidden rows with data</v>
      </c>
      <c r="E27" s="154" t="str">
        <f>IF('Summary and sign-off'!F60='Summary and sign-off'!F54,'Summary and sign-off'!A52,'Summary and sign-off'!A50)</f>
        <v>Check - each entry provides sufficient information</v>
      </c>
      <c r="F27" s="154"/>
      <c r="G27" s="2"/>
    </row>
    <row r="28" spans="1:7" ht="25.5" customHeight="1" x14ac:dyDescent="0.35">
      <c r="A28" s="54"/>
      <c r="B28" s="55" t="s">
        <v>99</v>
      </c>
      <c r="C28" s="56">
        <f>COUNTIF(C11:C26,'Summary and sign-off'!A45)</f>
        <v>12</v>
      </c>
      <c r="D28" s="14"/>
      <c r="E28" s="15"/>
      <c r="F28" s="16"/>
    </row>
    <row r="29" spans="1:7" ht="25.5" customHeight="1" x14ac:dyDescent="0.35">
      <c r="A29" s="54"/>
      <c r="B29" s="55" t="s">
        <v>100</v>
      </c>
      <c r="C29" s="56">
        <f>COUNTIF(C11:C26,'Summary and sign-off'!A46)</f>
        <v>1</v>
      </c>
      <c r="D29" s="14"/>
      <c r="E29" s="15"/>
      <c r="F29" s="16"/>
    </row>
    <row r="30" spans="1:7" ht="13" x14ac:dyDescent="0.3">
      <c r="A30" s="17"/>
      <c r="B30" s="18"/>
      <c r="C30" s="17"/>
      <c r="D30" s="19"/>
      <c r="E30" s="19"/>
      <c r="F30" s="17"/>
    </row>
    <row r="31" spans="1:7" ht="13" x14ac:dyDescent="0.3">
      <c r="A31" s="18" t="s">
        <v>407</v>
      </c>
      <c r="B31" s="18"/>
      <c r="C31" s="18"/>
      <c r="D31" s="18"/>
      <c r="E31" s="18"/>
      <c r="F31" s="18"/>
    </row>
    <row r="32" spans="1:7" ht="12.75" customHeight="1" x14ac:dyDescent="0.25">
      <c r="A32" s="20" t="s">
        <v>375</v>
      </c>
      <c r="B32" s="17"/>
      <c r="C32" s="17"/>
      <c r="D32" s="17"/>
      <c r="E32" s="17"/>
    </row>
    <row r="33" spans="1:6" ht="13" x14ac:dyDescent="0.3">
      <c r="A33" s="20" t="s">
        <v>82</v>
      </c>
      <c r="B33" s="19"/>
      <c r="C33" s="17"/>
      <c r="D33" s="17"/>
      <c r="E33" s="17"/>
      <c r="F33" s="17"/>
    </row>
    <row r="34" spans="1:6" ht="13" x14ac:dyDescent="0.3">
      <c r="A34" s="20" t="s">
        <v>439</v>
      </c>
      <c r="B34" s="21"/>
      <c r="C34" s="21"/>
      <c r="D34" s="21"/>
      <c r="E34" s="21"/>
      <c r="F34" s="21"/>
    </row>
    <row r="35" spans="1:6" ht="12.75" customHeight="1" x14ac:dyDescent="0.25">
      <c r="A35" s="20" t="s">
        <v>440</v>
      </c>
      <c r="B35" s="17"/>
      <c r="C35" s="17"/>
      <c r="D35" s="17"/>
      <c r="E35" s="17"/>
      <c r="F35" s="17"/>
    </row>
    <row r="36" spans="1:6" ht="13" customHeight="1" x14ac:dyDescent="0.25">
      <c r="A36" s="20" t="s">
        <v>441</v>
      </c>
      <c r="B36" s="17"/>
      <c r="C36" s="17"/>
      <c r="D36" s="17"/>
      <c r="E36" s="17"/>
      <c r="F36" s="17"/>
    </row>
    <row r="37" spans="1:6" x14ac:dyDescent="0.25">
      <c r="A37" s="20" t="s">
        <v>442</v>
      </c>
      <c r="C37" s="17"/>
      <c r="D37" s="17"/>
      <c r="E37" s="17"/>
      <c r="F37" s="17"/>
    </row>
    <row r="38" spans="1:6" ht="12.75" customHeight="1" x14ac:dyDescent="0.25">
      <c r="A38" s="20" t="s">
        <v>400</v>
      </c>
      <c r="B38" s="20"/>
      <c r="C38" s="22"/>
      <c r="D38" s="22"/>
      <c r="E38" s="22"/>
      <c r="F38" s="22"/>
    </row>
    <row r="39" spans="1:6" ht="12.75" customHeight="1" x14ac:dyDescent="0.25">
      <c r="A39" s="20"/>
      <c r="B39" s="20"/>
      <c r="C39" s="22"/>
      <c r="D39" s="22"/>
      <c r="E39" s="22"/>
      <c r="F39" s="22"/>
    </row>
    <row r="40" spans="1:6" ht="12.75" hidden="1" customHeight="1" x14ac:dyDescent="0.25">
      <c r="A40" s="20"/>
      <c r="B40" s="20"/>
      <c r="C40" s="22"/>
      <c r="D40" s="22"/>
      <c r="E40" s="22"/>
      <c r="F40" s="22"/>
    </row>
    <row r="41" spans="1:6" x14ac:dyDescent="0.25"/>
    <row r="42" spans="1:6" x14ac:dyDescent="0.25"/>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row r="46" spans="1:6" ht="13" hidden="1" x14ac:dyDescent="0.3">
      <c r="A46" s="18"/>
      <c r="B46" s="18"/>
      <c r="C46" s="18"/>
      <c r="D46" s="18"/>
      <c r="E46" s="18"/>
      <c r="F46" s="18"/>
    </row>
    <row r="47" spans="1:6" ht="13" hidden="1" x14ac:dyDescent="0.3">
      <c r="A47" s="18"/>
      <c r="B47" s="18"/>
      <c r="C47" s="18"/>
      <c r="D47" s="18"/>
      <c r="E47" s="18"/>
      <c r="F47" s="18"/>
    </row>
    <row r="48" spans="1:6" x14ac:dyDescent="0.25"/>
    <row r="49" x14ac:dyDescent="0.25"/>
    <row r="50" x14ac:dyDescent="0.25"/>
    <row r="51" x14ac:dyDescent="0.25"/>
    <row r="52" x14ac:dyDescent="0.25"/>
    <row r="53" x14ac:dyDescent="0.25"/>
    <row r="54" x14ac:dyDescent="0.25"/>
    <row r="55" x14ac:dyDescent="0.25"/>
    <row r="56" x14ac:dyDescent="0.25"/>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A17 A18 A19 A20:A24 A2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C11:C26</xm:sqref>
        </x14:dataValidation>
        <x14:dataValidation type="list" errorStyle="information" operator="greaterThan" allowBlank="1" showInputMessage="1" prompt="Provide specific $ value if possible" xr:uid="{00000000-0002-0000-0500-000003000000}">
          <x14:formula1>
            <xm:f>'Summary and sign-off'!$A$39:$A$44</xm:f>
          </x14:formula1>
          <xm:sqref>E11:E26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62F0-6D91-4553-884A-42D17AB32F55}">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activity xmlns="4f9c820c-e7e2-444d-97ee-45f2b3485c1d" xsi:nil="true"/>
    <PRADateDisposal xmlns="4f9c820c-e7e2-444d-97ee-45f2b3485c1d" xsi:nil="true"/>
    <BusinessValue xmlns="4f9c820c-e7e2-444d-97ee-45f2b3485c1d" xsi:nil="true"/>
    <zLegacy xmlns="acb26242-dc21-4420-965a-f5c1d8109808" xsi:nil="true"/>
    <KeyWords xmlns="15ffb055-6eb4-45a1-bc20-bf2ac0d420da" xsi:nil="true"/>
    <SecurityClassification xmlns="15ffb055-6eb4-45a1-bc20-bf2ac0d420da" xsi:nil="true"/>
    <PartnerType xmlns="acb26242-dc21-4420-965a-f5c1d8109808" xsi:nil="true"/>
    <Administrative xmlns="cb59e981-3bc6-4f52-8729-00103bb11721" xsi:nil="true"/>
    <ILDate xmlns="cb59e981-3bc6-4f52-8729-00103bb11721" xsi:nil="true"/>
    <PRADate3 xmlns="4f9c820c-e7e2-444d-97ee-45f2b3485c1d" xsi:nil="true"/>
    <PRAText5 xmlns="4f9c820c-e7e2-444d-97ee-45f2b3485c1d" xsi:nil="true"/>
    <Level2 xmlns="c91a514c-9034-4fa3-897a-8352025b26ed">NA</Level2>
    <Activity xmlns="4f9c820c-e7e2-444d-97ee-45f2b3485c1d">Management and Governance</Activity>
    <AggregationStatus xmlns="4f9c820c-e7e2-444d-97ee-45f2b3485c1d">Normal</AggregationStatus>
    <CategoryValue xmlns="4f9c820c-e7e2-444d-97ee-45f2b3485c1d">NA</CategoryValue>
    <PRADate2 xmlns="4f9c820c-e7e2-444d-97ee-45f2b3485c1d" xsi:nil="true"/>
    <fbbc46e6080f4043b8eb3439e6385fb0 xmlns="cb59e981-3bc6-4f52-8729-00103bb11721">
      <Terms xmlns="http://schemas.microsoft.com/office/infopath/2007/PartnerControls"/>
    </fbbc46e6080f4043b8eb3439e6385fb0>
    <Case xmlns="4f9c820c-e7e2-444d-97ee-45f2b3485c1d">Sport NZ</Case>
    <PRAText1 xmlns="4f9c820c-e7e2-444d-97ee-45f2b3485c1d" xsi:nil="true"/>
    <PRAText4 xmlns="4f9c820c-e7e2-444d-97ee-45f2b3485c1d" xsi:nil="true"/>
    <Level3 xmlns="c91a514c-9034-4fa3-897a-8352025b26ed" xsi:nil="true"/>
    <ReadOnlyStatus xmlns="cb59e981-3bc6-4f52-8729-00103bb11721">Open</ReadOnlyStatus>
    <Team xmlns="c91a514c-9034-4fa3-897a-8352025b26ed">NA</Team>
    <zMigrationID xmlns="acb26242-dc21-4420-965a-f5c1d8109808" xsi:nil="true"/>
    <e3343728b5c74b3d8fb6c70eb949629a xmlns="cb59e981-3bc6-4f52-8729-00103bb11721">
      <Terms xmlns="http://schemas.microsoft.com/office/infopath/2007/PartnerControls"/>
    </e3343728b5c74b3d8fb6c70eb949629a>
    <Project xmlns="4f9c820c-e7e2-444d-97ee-45f2b3485c1d">NA</Project>
    <RecordID xmlns="acb26242-dc21-4420-965a-f5c1d8109808" xsi:nil="true"/>
    <zLegacyJSON xmlns="acb26242-dc21-4420-965a-f5c1d8109808" xsi:nil="true"/>
    <FunctionGroup xmlns="4f9c820c-e7e2-444d-97ee-45f2b3485c1d">Sport New Zealand</FunctionGroup>
    <Function xmlns="4f9c820c-e7e2-444d-97ee-45f2b3485c1d">Governance</Functi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TaxCatchAll xmlns="542624b3-cffc-481c-adb1-2d25bc83b1e4" xsi:nil="true"/>
    <DocumentType xmlns="4f9c820c-e7e2-444d-97ee-45f2b3485c1d" xsi:nil="true"/>
    <FinancialYear xmlns="acb26242-dc21-4420-965a-f5c1d8109808">2024-2025</FinancialYear>
    <PRAText3 xmlns="4f9c820c-e7e2-444d-97ee-45f2b3485c1d" xsi:nil="true"/>
    <TargetAudience xmlns="cb59e981-3bc6-4f52-8729-00103bb11721">Internal</TargetAudience>
    <Year xmlns="c91a514c-9034-4fa3-897a-8352025b26ed">2023</Year>
    <g8fd85cd35464210baa823c6298a2c0b xmlns="cb59e981-3bc6-4f52-8729-00103bb11721">
      <Terms xmlns="http://schemas.microsoft.com/office/infopath/2007/PartnerControls"/>
    </g8fd85cd35464210baa823c6298a2c0b>
    <Narrative xmlns="4f9c820c-e7e2-444d-97ee-45f2b3485c1d" xsi:nil="true"/>
    <CategoryName xmlns="4f9c820c-e7e2-444d-97ee-45f2b3485c1d" xsi:nil="true"/>
    <PRADateTrigger xmlns="4f9c820c-e7e2-444d-97ee-45f2b3485c1d" xsi:nil="true"/>
    <PRAText2 xmlns="4f9c820c-e7e2-444d-97ee-45f2b3485c1d" xsi:nil="true"/>
    <RDClass xmlns="cb59e981-3bc6-4f52-8729-00103bb11721">TESTCLASS</RDClass>
    <SharedWithUsers xmlns="542624b3-cffc-481c-adb1-2d25bc83b1e4">
      <UserInfo>
        <DisplayName>Ken Smart</DisplayName>
        <AccountId>87</AccountId>
        <AccountType/>
      </UserInfo>
      <UserInfo>
        <DisplayName>Nehalkumar patel</DisplayName>
        <AccountId>157</AccountId>
        <AccountType/>
      </UserInfo>
    </SharedWithUsers>
    <SetLabel xmlns="cb59e981-3bc6-4f52-8729-00103bb11721">RETAIN</SetLabel>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1E94C3B72383DE4DAA17349E0BBF252600CF303D3B26ED3B43AB85D38A55146184" ma:contentTypeVersion="132" ma:contentTypeDescription="Create a new document." ma:contentTypeScope="" ma:versionID="307057fcda93a4590c8db97f5625aeb4">
  <xsd:schema xmlns:xsd="http://www.w3.org/2001/XMLSchema" xmlns:xs="http://www.w3.org/2001/XMLSchema" xmlns:p="http://schemas.microsoft.com/office/2006/metadata/properties" xmlns:ns2="cb59e981-3bc6-4f52-8729-00103bb11721" xmlns:ns3="542624b3-cffc-481c-adb1-2d25bc83b1e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f36469fcc339fc337fea0ddb3116f487" ns2:_="" ns3:_="" ns4:_="" ns5:_="" ns6:_="" ns7:_="" ns8:_="">
    <xsd:import namespace="cb59e981-3bc6-4f52-8729-00103bb11721"/>
    <xsd:import namespace="542624b3-cffc-481c-adb1-2d25bc83b1e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Administrative"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Set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e981-3bc6-4f52-8729-00103bb1172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Administrative" ma:index="53" nillable="true" ma:displayName="Administrative" ma:hidden="true" ma:internalName="Administrative" ma:readOnly="false">
      <xsd:simpleType>
        <xsd:restriction base="dms:Text">
          <xsd:maxLength value="255"/>
        </xsd:restriction>
      </xsd:simpleType>
    </xsd:element>
    <xsd:element name="ILDate" ma:index="54" nillable="true" ma:displayName="Date" ma:format="DateTime" ma:hidden="true" ma:internalName="ILDate" ma:readOnly="false">
      <xsd:simpleType>
        <xsd:restriction base="dms:DateTime"/>
      </xsd:simpleType>
    </xsd:element>
    <xsd:element name="RDClass" ma:index="55" nillable="true" ma:displayName="Class" ma:default="TESTCLASS"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6"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7"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7" nillable="true" ma:displayName="MediaServiceObjectDetectorVersions" ma:hidden="true" ma:indexed="true" ma:internalName="MediaServiceObjectDetectorVersions" ma:readOnly="true">
      <xsd:simpleType>
        <xsd:restriction base="dms:Text"/>
      </xsd:simpleType>
    </xsd:element>
    <xsd:element name="MediaServiceSearchProperties" ma:index="68" nillable="true" ma:displayName="MediaServiceSearchProperties" ma:hidden="true" ma:internalName="MediaServiceSearchProperties" ma:readOnly="true">
      <xsd:simpleType>
        <xsd:restriction base="dms:Note"/>
      </xsd:simpleType>
    </xsd:element>
    <xsd:element name="MediaServiceBillingMetadata" ma:index="69" nillable="true" ma:displayName="MediaServiceBillingMetadata" ma:hidden="true" ma:internalName="MediaServiceBillingMetadata" ma:readOnly="true">
      <xsd:simpleType>
        <xsd:restriction base="dms:Note"/>
      </xsd:simpleType>
    </xsd:element>
    <xsd:element name="SetLabel" ma:index="70" nillable="true" ma:displayName="Set Label" ma:default="RETAIN" ma:hidden="true" ma:internalName="SetLabe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624b3-cffc-481c-adb1-2d25bc83b1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9c1fd97-ccf6-4a7b-921e-b4d02c325a92}" ma:internalName="TaxCatchAll" ma:showField="CatchAllData" ma:web="542624b3-cffc-481c-adb1-2d25bc83b1e4">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xsd:simpleType>
        <xsd:restriction base="dms:Choice">
          <xsd:enumeration value="Application, certificate, consent related"/>
          <xsd:enumeration value="Briefing Paper"/>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 ma:hidden="true" ma:indexed="true" ma:internalName="Subactivity" ma:readOnly="false">
      <xsd:simpleType>
        <xsd:restriction base="dms:Text">
          <xsd:maxLength value="255"/>
        </xsd:restriction>
      </xsd:simpleType>
    </xsd:element>
    <xsd:element name="Case" ma:index="20" nillable="true" ma:displayName="Case" ma:default="NA" ma:hidden="true" ma:indexed="true" ma:internalName="Case" ma:readOnly="false">
      <xsd:simpleType>
        <xsd:restriction base="dms:Text">
          <xsd:maxLength value="255"/>
        </xsd:restriction>
      </xsd:simpleType>
    </xsd:element>
    <xsd:element name="CategoryName" ma:index="21" nillable="true" ma:displayName="Category" ma:format="Dropdown" ma:indexed="true" ma:internalName="CategoryName">
      <xsd:simpleType>
        <xsd:union memberTypes="dms:Text">
          <xsd:simpleType>
            <xsd:restriction base="dms:Choice">
              <xsd:enumeration value="Annual Report"/>
              <xsd:enumeration value="Annual Review Questions"/>
              <xsd:enumeration value="Estimates Questions"/>
              <xsd:enumeration value="Quarterly Performance Report"/>
              <xsd:enumeration value="Statement of Intent"/>
              <xsd:enumeration value="Statement of Performance Expectations"/>
              <xsd:enumeration value="Demonstrating Impact"/>
            </xsd:restriction>
          </xsd:simpleType>
        </xsd:un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Management and Governanc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5-2026" ma:format="Dropdown" ma:internalName="FinancialYear">
      <xsd:simpleType>
        <xsd:union memberTypes="dms:Text">
          <xsd:simpleType>
            <xsd:restriction base="dms:Choice">
              <xsd:enumeration value="2028-2029"/>
              <xsd:enumeration value="2027-2028"/>
              <xsd:enumeration value="2026-2027"/>
              <xsd:enumeration value="2025-2026"/>
              <xsd:enumeration value="2024-2025"/>
              <xsd:enumeration value="2023-2024"/>
              <xsd:enumeration value="2022-2023"/>
              <xsd:enumeration value="2021-2022"/>
              <xsd:enumeration value="2020-2021"/>
              <xsd:enumeration value="2019-2020"/>
              <xsd:enumeration value="2018-2019"/>
              <xsd:enumeration value="2017-2018"/>
            </xsd:restriction>
          </xsd:simpleType>
        </xsd:un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5" ma:format="Dropdown" ma:indexed="true" ma:internalName="Year">
      <xsd:simpleType>
        <xsd:restriction base="dms:Choice">
          <xsd:enumeration value="2028"/>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NA"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c91a514c-9034-4fa3-897a-8352025b26ed"/>
    <ds:schemaRef ds:uri="http://schemas.microsoft.com/office/2006/documentManagement/types"/>
    <ds:schemaRef ds:uri="http://purl.org/dc/elements/1.1/"/>
    <ds:schemaRef ds:uri="http://www.w3.org/XML/1998/namespace"/>
    <ds:schemaRef ds:uri="542624b3-cffc-481c-adb1-2d25bc83b1e4"/>
    <ds:schemaRef ds:uri="15ffb055-6eb4-45a1-bc20-bf2ac0d420da"/>
    <ds:schemaRef ds:uri="http://purl.org/dc/dcmitype/"/>
    <ds:schemaRef ds:uri="http://schemas.microsoft.com/office/2006/metadata/properties"/>
    <ds:schemaRef ds:uri="acb26242-dc21-4420-965a-f5c1d8109808"/>
    <ds:schemaRef ds:uri="http://schemas.microsoft.com/office/infopath/2007/PartnerControls"/>
    <ds:schemaRef ds:uri="http://schemas.openxmlformats.org/package/2006/metadata/core-properties"/>
    <ds:schemaRef ds:uri="725c79e5-42ce-4aa0-ac78-b6418001f0d2"/>
    <ds:schemaRef ds:uri="4f9c820c-e7e2-444d-97ee-45f2b3485c1d"/>
    <ds:schemaRef ds:uri="cb59e981-3bc6-4f52-8729-00103bb11721"/>
    <ds:schemaRef ds:uri="http://purl.org/dc/terms/"/>
  </ds:schemaRefs>
</ds:datastoreItem>
</file>

<file path=customXml/itemProps3.xml><?xml version="1.0" encoding="utf-8"?>
<ds:datastoreItem xmlns:ds="http://schemas.openxmlformats.org/officeDocument/2006/customXml" ds:itemID="{D2A4BA88-DC3C-43E5-A617-2F6C885F7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e981-3bc6-4f52-8729-00103bb11721"/>
    <ds:schemaRef ds:uri="542624b3-cffc-481c-adb1-2d25bc83b1e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5ca952-e4a5-43e6-b17c-c01d313ad135}" enabled="0" method="" siteId="{9d5ca952-e4a5-43e6-b17c-c01d313ad1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Guidance for agencies</vt:lpstr>
      <vt:lpstr>Summary and sign-off</vt:lpstr>
      <vt:lpstr>Travel</vt:lpstr>
      <vt:lpstr>Hospitality</vt:lpstr>
      <vt:lpstr>All other expenses</vt:lpstr>
      <vt:lpstr>Gifts and benefits</vt:lpstr>
      <vt:lpstr>Sheet1</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Paula Ryan</cp:lastModifiedBy>
  <cp:revision/>
  <dcterms:created xsi:type="dcterms:W3CDTF">2023-06-26T21:29:34Z</dcterms:created>
  <dcterms:modified xsi:type="dcterms:W3CDTF">2025-07-31T03:14:55Z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0x0101001E94C3B72383DE4DAA17349E0BBF252600CF303D3B26ED3B43AB85D38A55146184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ntity">
    <vt:lpwstr/>
  </property>
  <property fmtid="{D5CDD505-2E9C-101B-9397-08002B2CF9AE}" pid="12" name="Region">
    <vt:lpwstr/>
  </property>
  <property fmtid="{D5CDD505-2E9C-101B-9397-08002B2CF9AE}" pid="13" name="Sport">
    <vt:lpwstr/>
  </property>
</Properties>
</file>