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326"/>
  <workbookPr defaultThemeVersion="124226"/>
  <mc:AlternateContent xmlns:mc="http://schemas.openxmlformats.org/markup-compatibility/2006">
    <mc:Choice Requires="x15">
      <x15ac:absPath xmlns:x15ac="http://schemas.microsoft.com/office/spreadsheetml/2010/11/ac" url="https://sportnzgroup-my.sharepoint.com/personal/paula_ryan_sportnz_org_nz/Documents/Desktop/"/>
    </mc:Choice>
  </mc:AlternateContent>
  <xr:revisionPtr revIDLastSave="0" documentId="8_{DE4D15B5-BE69-4454-8DFB-C9A11D7D5327}" xr6:coauthVersionLast="47" xr6:coauthVersionMax="47" xr10:uidLastSave="{00000000-0000-0000-0000-000000000000}"/>
  <bookViews>
    <workbookView xWindow="-120" yWindow="-120" windowWidth="38640" windowHeight="21120" firstSheet="1" activeTab="1" xr2:uid="{00000000-000D-0000-FFFF-FFFF00000000}"/>
  </bookViews>
  <sheets>
    <sheet name="Guidance for agencies" sheetId="5" r:id="rId1"/>
    <sheet name="Summary and sign-off" sheetId="13" r:id="rId2"/>
    <sheet name="Travel" sheetId="1" r:id="rId3"/>
    <sheet name="Hospitality" sheetId="2" r:id="rId4"/>
    <sheet name="All other expenses" sheetId="3" r:id="rId5"/>
    <sheet name="Gifts and benefits" sheetId="4" r:id="rId6"/>
  </sheets>
  <definedNames>
    <definedName name="_xlnm.Print_Area" localSheetId="4">'All other expenses'!$A$1:$E$24</definedName>
    <definedName name="_xlnm.Print_Area" localSheetId="5">'Gifts and benefits'!$A$1:$F$49</definedName>
    <definedName name="_xlnm.Print_Area" localSheetId="0">'Guidance for agencies'!$A$1:$A$58</definedName>
    <definedName name="_xlnm.Print_Area" localSheetId="3">Hospitality!$A$1:$E$26</definedName>
    <definedName name="_xlnm.Print_Area" localSheetId="1">'Summary and sign-off'!$A$1:$F$23</definedName>
    <definedName name="_xlnm.Print_Area" localSheetId="2">Travel!$A$1:$E$302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86" i="1" l="1"/>
  <c r="B248" i="1"/>
  <c r="B25" i="1"/>
  <c r="B257" i="1"/>
  <c r="B24" i="1"/>
  <c r="B146" i="1"/>
  <c r="B288" i="1"/>
  <c r="B287" i="1"/>
  <c r="B253" i="1"/>
  <c r="B255" i="1"/>
  <c r="B283" i="1"/>
  <c r="B235" i="1"/>
  <c r="B224" i="1"/>
  <c r="B241" i="1"/>
  <c r="B237" i="1"/>
  <c r="B282" i="1"/>
  <c r="B233" i="1"/>
  <c r="B20" i="1"/>
  <c r="B218" i="1"/>
  <c r="B214" i="1"/>
  <c r="B202" i="1"/>
  <c r="B211" i="1"/>
  <c r="B200" i="1"/>
  <c r="B187" i="1"/>
  <c r="B185" i="1"/>
  <c r="B164" i="1"/>
  <c r="B159" i="1"/>
  <c r="B191" i="1"/>
  <c r="B278" i="1"/>
  <c r="B274" i="1"/>
  <c r="B162" i="1"/>
  <c r="B174" i="1"/>
  <c r="B275" i="1"/>
  <c r="B166" i="1"/>
  <c r="B147" i="1"/>
  <c r="B152" i="1"/>
  <c r="B133" i="1"/>
  <c r="B126" i="1"/>
  <c r="B121" i="1"/>
  <c r="B196" i="1"/>
  <c r="B103" i="1"/>
  <c r="B96" i="1"/>
  <c r="B97" i="1"/>
  <c r="B93" i="1"/>
  <c r="B69" i="1" l="1"/>
  <c r="B75" i="1"/>
  <c r="B71" i="1"/>
  <c r="B189" i="1"/>
  <c r="B179" i="1"/>
  <c r="B88" i="1"/>
  <c r="B83" i="1"/>
  <c r="B266" i="1"/>
  <c r="B64" i="1"/>
  <c r="B59" i="1"/>
  <c r="B265" i="1"/>
  <c r="B52" i="1"/>
  <c r="B47" i="1"/>
  <c r="B137" i="1"/>
  <c r="B32" i="1"/>
  <c r="B31" i="1"/>
  <c r="B130" i="1"/>
  <c r="B109" i="1" l="1"/>
  <c r="B73" i="1"/>
  <c r="B40" i="1"/>
  <c r="B49" i="1"/>
  <c r="B35" i="1"/>
  <c r="D38" i="4" l="1"/>
  <c r="C18" i="3"/>
  <c r="C19" i="2"/>
  <c r="B6" i="13"/>
  <c r="E60" i="13"/>
  <c r="C60" i="13"/>
  <c r="C40" i="4"/>
  <c r="F13" i="13" s="1"/>
  <c r="C39" i="4"/>
  <c r="F12" i="13" s="1"/>
  <c r="B60" i="13"/>
  <c r="B59" i="13"/>
  <c r="D59" i="13"/>
  <c r="B58" i="13"/>
  <c r="D58" i="13"/>
  <c r="D57" i="13"/>
  <c r="D56" i="13"/>
  <c r="D55" i="13"/>
  <c r="B2" i="4"/>
  <c r="B3" i="4"/>
  <c r="B2" i="3"/>
  <c r="B3" i="3"/>
  <c r="B2" i="2"/>
  <c r="B3" i="2"/>
  <c r="B2" i="1"/>
  <c r="B3" i="1"/>
  <c r="C13" i="13"/>
  <c r="C12" i="13"/>
  <c r="C11" i="13"/>
  <c r="C15" i="13" s="1"/>
  <c r="B5" i="4"/>
  <c r="B4" i="4"/>
  <c r="B5" i="3"/>
  <c r="B4" i="3"/>
  <c r="B5" i="2"/>
  <c r="B4" i="2"/>
  <c r="B5" i="1"/>
  <c r="B4" i="1"/>
  <c r="B18" i="3"/>
  <c r="B13" i="13" s="1"/>
  <c r="B19" i="2"/>
  <c r="B12" i="13" s="1"/>
  <c r="F59" i="13" l="1"/>
  <c r="D18" i="3" s="1"/>
  <c r="F58" i="13"/>
  <c r="D19" i="2" s="1"/>
  <c r="B26" i="1"/>
  <c r="B15" i="13" s="1"/>
  <c r="B56" i="13"/>
  <c r="F56" i="13" s="1"/>
  <c r="D261" i="1" s="1"/>
  <c r="B261" i="1"/>
  <c r="B55" i="13"/>
  <c r="F55" i="13" s="1"/>
  <c r="D26" i="1" s="1"/>
  <c r="C261" i="1"/>
  <c r="C26" i="1"/>
  <c r="C16" i="13"/>
  <c r="C291" i="1"/>
  <c r="C17" i="13"/>
  <c r="B291" i="1"/>
  <c r="B17" i="13" s="1"/>
  <c r="B57" i="13"/>
  <c r="F57" i="13" s="1"/>
  <c r="D291" i="1" s="1"/>
  <c r="C38" i="4"/>
  <c r="F11" i="13" s="1"/>
  <c r="F60" i="13"/>
  <c r="E38" i="4" s="1"/>
  <c r="B16" i="13" l="1"/>
  <c r="B11" i="13" s="1"/>
  <c r="B293"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58" authorId="0" shapeId="0" xr:uid="{00000000-0006-0000-0000-000001000000}">
      <text>
        <r>
          <rPr>
            <sz val="9"/>
            <color indexed="81"/>
            <rFont val="Tahoma"/>
            <family val="2"/>
          </rPr>
          <t xml:space="preserve">
Update link once finalised for new workbook</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11" authorId="0" shapeId="0" xr:uid="{00000000-0006-0000-0200-000001000000}">
      <text>
        <r>
          <rPr>
            <sz val="9"/>
            <color indexed="81"/>
            <rFont val="Tahoma"/>
            <family val="2"/>
          </rPr>
          <t xml:space="preserve">
Insert additional rows as needed:
- 'right click' on a row number (left of screen)
- select 'Insert' (this will insert a row above it)
</t>
        </r>
      </text>
    </comment>
    <comment ref="A29" authorId="0" shapeId="0" xr:uid="{00000000-0006-0000-0200-000002000000}">
      <text>
        <r>
          <rPr>
            <sz val="9"/>
            <color indexed="81"/>
            <rFont val="Tahoma"/>
            <family val="2"/>
          </rPr>
          <t xml:space="preserve">
Insert additional rows as needed:
- 'right click' on a row number (left of screen)
- select 'Insert' (this will insert a row above it)
</t>
        </r>
      </text>
    </comment>
    <comment ref="A264" authorId="0" shapeId="0" xr:uid="{00000000-0006-0000-0200-000003000000}">
      <text>
        <r>
          <rPr>
            <sz val="9"/>
            <color indexed="81"/>
            <rFont val="Tahoma"/>
            <family val="2"/>
          </rPr>
          <t xml:space="preserve">
Insert additional rows as needed:
- 'right click' on a row number (left of screen)
- select 'Insert' (this will insert a row above it)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10" authorId="0" shapeId="0" xr:uid="{00000000-0006-0000-0300-000001000000}">
      <text>
        <r>
          <rPr>
            <sz val="9"/>
            <color indexed="81"/>
            <rFont val="Tahoma"/>
            <family val="2"/>
          </rPr>
          <t xml:space="preserve">
Insert additional rows as needed:
- 'right click' on a row number (left of screen)
- select 'Insert' (this will insert a row above it)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10" authorId="0" shapeId="0" xr:uid="{00000000-0006-0000-0400-000001000000}">
      <text>
        <r>
          <rPr>
            <sz val="9"/>
            <color indexed="81"/>
            <rFont val="Tahoma"/>
            <family val="2"/>
          </rPr>
          <t xml:space="preserve">
Insert additional rows as needed:
- 'right click' on a row number (left of screen)
- select 'Insert' (this will insert a row above it)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10" authorId="0" shapeId="0" xr:uid="{00000000-0006-0000-0500-000001000000}">
      <text>
        <r>
          <rPr>
            <sz val="9"/>
            <color indexed="81"/>
            <rFont val="Tahoma"/>
            <family val="2"/>
          </rPr>
          <t xml:space="preserve">
Insert additional rows as needed:
- 'right click' on a row number (left of screen)
- select 'Insert' (this will insert a row above it)
</t>
        </r>
      </text>
    </comment>
  </commentList>
</comments>
</file>

<file path=xl/sharedStrings.xml><?xml version="1.0" encoding="utf-8"?>
<sst xmlns="http://schemas.openxmlformats.org/spreadsheetml/2006/main" count="1068" uniqueCount="450">
  <si>
    <t>Secretary and Chief Executive Expense Disclosures: A Guide for Agency Staff</t>
  </si>
  <si>
    <t>The following is a summary from "Public Service Secretaries and Chief Executive Expense Disclosures: A Guide for Agency Staff"
Please read that in full first.</t>
  </si>
  <si>
    <t>In the following worksheets, cells shaded light green require input. All other cells are locked to prevent change.</t>
  </si>
  <si>
    <t>Purpose</t>
  </si>
  <si>
    <t>The purpose of regular public disclosure of secretaries and/or chief executive's expenses is to provide transparency and accountability for discretionary expenditure by Public Service agencies and statutory Crown entities.</t>
  </si>
  <si>
    <r>
      <t>Publishing clear and detailed disclosures is integral to building and maintaining the public's trust and confidence in the</t>
    </r>
    <r>
      <rPr>
        <sz val="11"/>
        <color rgb="FFFF0000"/>
        <rFont val="Arial"/>
        <family val="2"/>
      </rPr>
      <t xml:space="preserve"> </t>
    </r>
    <r>
      <rPr>
        <sz val="11"/>
        <rFont val="Arial"/>
        <family val="2"/>
      </rPr>
      <t>Public service.</t>
    </r>
  </si>
  <si>
    <t>What is covered?</t>
  </si>
  <si>
    <r>
      <t xml:space="preserve">Description
</t>
    </r>
    <r>
      <rPr>
        <sz val="10"/>
        <color theme="0"/>
        <rFont val="Arial"/>
        <family val="2"/>
      </rPr>
      <t>(e.g. event tickets, etc)</t>
    </r>
  </si>
  <si>
    <t>All expenses for items offered, accepted or declined by secretaries or chief executives in performing their role are required to be disclosed, whether paid by credit card or invoiced.</t>
  </si>
  <si>
    <t xml:space="preserve">This includes expenses for more personal undertakings, such as professional development expenditure, in addition to outgoings for the likes of travel and entertainment. </t>
  </si>
  <si>
    <t>Secretary and chief executive expenses are not generally regarded as personal or commercially sensitive. Refer to the Ombudsman Guide to Chief Executive Expenses for guidance.</t>
  </si>
  <si>
    <t>Business or corporate expenses for the organisation that are met from the secretaries or chief executive's budget or paid by their credit card are excluded.</t>
  </si>
  <si>
    <t>Expense disclosures cover the full period of the report, and are completed by each secretary or chief executive, including in Acting roles - Complete a separate workbook for each.</t>
  </si>
  <si>
    <t>How does it work?</t>
  </si>
  <si>
    <t xml:space="preserve">Secretaries or chief executives disclose the expenses, gifts &amp; hospitality they have expended or been offered using this Excel workbook. </t>
  </si>
  <si>
    <t>Secretaries or chief executives formally approve completed Excel workbooks and an appropriate person reviews them (see guidance).</t>
  </si>
  <si>
    <r>
      <rPr>
        <sz val="11"/>
        <rFont val="Arial"/>
        <family val="2"/>
      </rPr>
      <t xml:space="preserve">They are posted on agency websites and linked to www.data.govt.nz. See: </t>
    </r>
    <r>
      <rPr>
        <u/>
        <sz val="11"/>
        <color theme="10"/>
        <rFont val="Arial"/>
        <family val="2"/>
      </rPr>
      <t>https://www.data.govt.nz/toolkit/how-do-i-add-or-update-our-chief-executive-expenses/</t>
    </r>
  </si>
  <si>
    <t>When and how often are disclosures made?</t>
  </si>
  <si>
    <t>Disclosures cover the year to 30 June and are expected to be published by 31 July.</t>
  </si>
  <si>
    <t>Disclosed Information - this workbook includes a tab for each of the following categories:</t>
  </si>
  <si>
    <t>Summary and sign-off</t>
  </si>
  <si>
    <r>
      <t xml:space="preserve">This tab contains a summary of the information presented: it includes a single place to update entity information, running totals of the different types of expenses and gifts/benefits, and records the </t>
    </r>
    <r>
      <rPr>
        <u/>
        <sz val="11"/>
        <rFont val="Arial"/>
        <family val="2"/>
      </rPr>
      <t>required</t>
    </r>
    <r>
      <rPr>
        <sz val="11"/>
        <rFont val="Arial"/>
        <family val="2"/>
      </rPr>
      <t xml:space="preserve"> checks and sign-offs </t>
    </r>
    <r>
      <rPr>
        <u/>
        <sz val="11"/>
        <rFont val="Arial"/>
        <family val="2"/>
      </rPr>
      <t>before publication</t>
    </r>
    <r>
      <rPr>
        <sz val="11"/>
        <rFont val="Arial"/>
        <family val="2"/>
      </rPr>
      <t>.</t>
    </r>
  </si>
  <si>
    <t>Travel</t>
  </si>
  <si>
    <t xml:space="preserve">All expenses incurred by secretaries or chief executives during international, national and local travel are disclosed. Expenditure relating to each trip is grouped (particularly for overseas trips), but the nature of the items of expenditure are disclosed separately, with individual lines for the likes of airfares, accommodation, meals, and taxis. </t>
  </si>
  <si>
    <t>Hospitality</t>
  </si>
  <si>
    <t xml:space="preserve">All work-related hospitality expenses provided by the secretary or chief executive to people external to Public Service agenices and statutory Crown entities. </t>
  </si>
  <si>
    <t>All other expenses</t>
  </si>
  <si>
    <t>All other expenses incurred by the secretary or chief executive that are not captured under the definition of travel, hospitality or gifts and benefits are disclosed in this section. This includes items such as cell phone and data costs, subscriptions, membership fees, conference fees, and professional development fees.</t>
  </si>
  <si>
    <t>If in doubt, the principles of transparency and accountability apply and therefore all items are disclosed, unless there is a very good reason not to. The Ombudsman’s view is that "because this expenditure is incurred by very senior employees acting in an official capacity and for a business purpose, the privacy interests of the chief executives who incurred the expenditure are low".</t>
  </si>
  <si>
    <t>Gifts and benefits</t>
  </si>
  <si>
    <t xml:space="preserve">All gifts, invitations to events and other hospitality, of $50 or more in total value per year, offered, accepted or declined by the secretary or chief executive from people external to Public Service agencies and statutory Crown entities are disclosed. A brief explanation of what the secretary or chief executive did with the gifts and benefits is supplied, which includes whether the offer was declined. </t>
  </si>
  <si>
    <t xml:space="preserve">Usually gifts and benefits that have more than a token value are also declared on an open register within agencies, as well as on the expenses disclosure. Please note that anything offered is official information and is covered by the Official Information Act. </t>
  </si>
  <si>
    <t>The value of each gift or benefit should be provided/estimated where possible. If an estimate is approximate, valuation 'ranges' can be submitted. It should be recorded where the cost of a gift cannot be reasonably estimated, or where an estimate is inappropriate (e.g. because of the nature of the item or because disclosing an estimated value might cause offence such as a cultural gift).</t>
  </si>
  <si>
    <t>How to present information</t>
  </si>
  <si>
    <t>Provide information using this Excel workbook: https://www.publicservice.govt.nz/resources/ce-expenses-disclosure/</t>
  </si>
  <si>
    <t>Complete separate tables for each category using the tabs provided in this Excel workbook: Travel, Hospitality, Gifts and Benefits, All other expenses.</t>
  </si>
  <si>
    <r>
      <t xml:space="preserve">Complete all fields. The header (organisation name, secretary or chief executive name and reporting period) will pre-populate once you enter it on the </t>
    </r>
    <r>
      <rPr>
        <u/>
        <sz val="11"/>
        <color theme="1"/>
        <rFont val="Arial"/>
        <family val="2"/>
      </rPr>
      <t>'Summary and sign-off' tab.</t>
    </r>
  </si>
  <si>
    <t>Whether costs are GST exclusive or inclusive needs to be consistent on each sheet, and ideally should be consistent across all sheets. You have the option to use GST exclusive or inclusive as it may depend how you get your source information.</t>
  </si>
  <si>
    <t>Mark clearly if no information to disclose - where there is no information to disclose, record this clearly on the spreadsheet with a suitable description such as “no travel expenses to disclose for this period”; “no gifts received” or “no hospitality provided”. Please do not leave the page blank.</t>
  </si>
  <si>
    <t>Ensure the disclosure is for the full reporting period. Include separate disclosures for each secretary or chief executive, including those in Acting roles.</t>
  </si>
  <si>
    <t xml:space="preserve">Provide sufficient detail for each item in the spreadsheet. Agencies are encouraged to take a why, what, who, where and how approach to describing individual items. A good description that outlines the nature of the item and its purpose improves understanding of why expenses have been incurred or why gifts and hospitality have been given or received. </t>
  </si>
  <si>
    <t>Provide full information for every entry. The alert "Some records may be incomplete" will show in the 'Total' line if any expense has 'Cost' or 'Type of expense' missing, or, any gift has 'Accepted/Declined', 'Description' or 'Estimated value' missing.</t>
  </si>
  <si>
    <t>The subtotals and totals should appear and update automatically, once you add information to the rows above. Insert more rows as you need - right click on the row number (at the left of screen) and select 'Insert' - new row will insert above.</t>
  </si>
  <si>
    <t>Uploading the workbook - please ensure it is easy to find on your website.</t>
  </si>
  <si>
    <t>The Disclosures webpage could be headed with a statement such as: “(This agency) is disclosing the Secretary or Chief Executive’s expenses, gifts and hospitality as part of its commitment to transparency and accountability".</t>
  </si>
  <si>
    <t>Further assistance</t>
  </si>
  <si>
    <t>The above is a summary from "Secretary or Chief Executive Expense Disclosures: A Guide for Agency Staff": https://www.publicservice.govt.nz/assets/Legacy/resources/Chief-Executive-Expense-Disclosure-Guide.pdf 
Please read that in full first.</t>
  </si>
  <si>
    <r>
      <rPr>
        <sz val="11"/>
        <rFont val="Arial"/>
        <family val="2"/>
      </rPr>
      <t xml:space="preserve">If you have any questions please contact </t>
    </r>
    <r>
      <rPr>
        <u/>
        <sz val="11"/>
        <color theme="10"/>
        <rFont val="Arial"/>
        <family val="2"/>
      </rPr>
      <t>ceexpenses@publicservice.govt.nz</t>
    </r>
  </si>
  <si>
    <r>
      <rPr>
        <sz val="11"/>
        <rFont val="Arial"/>
        <family val="2"/>
      </rPr>
      <t>For help with publishing on data.govt contact</t>
    </r>
    <r>
      <rPr>
        <sz val="11"/>
        <color theme="10"/>
        <rFont val="Arial"/>
        <family val="2"/>
      </rPr>
      <t xml:space="preserve"> </t>
    </r>
    <r>
      <rPr>
        <u/>
        <sz val="11"/>
        <color theme="10"/>
        <rFont val="Arial"/>
        <family val="2"/>
      </rPr>
      <t>info@data.govt.nz.</t>
    </r>
  </si>
  <si>
    <r>
      <rPr>
        <sz val="11"/>
        <rFont val="Arial"/>
        <family val="2"/>
      </rPr>
      <t xml:space="preserve">Expenses should be posted on agency websites and linked to www.data.govt.nz. See: </t>
    </r>
    <r>
      <rPr>
        <u/>
        <sz val="11"/>
        <color theme="10"/>
        <rFont val="Arial"/>
        <family val="2"/>
      </rPr>
      <t>https://www.data.govt.nz/toolkit/how-do-i-add-or-update-our-chief-executive-expenses/</t>
    </r>
  </si>
  <si>
    <t>Provide information using the Commissions Excel workbook - Click Here</t>
  </si>
  <si>
    <t>Secretary or Chief Executive Expenses, Gifts and Benefits Disclosure - summary &amp; sign-off*</t>
  </si>
  <si>
    <t>Organisation Name*</t>
  </si>
  <si>
    <t>Sport NZ</t>
  </si>
  <si>
    <t>Secretary or Chief Executive**</t>
  </si>
  <si>
    <t>Raelene Castle</t>
  </si>
  <si>
    <t>Disclosure period start***</t>
  </si>
  <si>
    <t>Disclosure period end***</t>
  </si>
  <si>
    <t>Agency totals check</t>
  </si>
  <si>
    <t>Secretary or Chief Executive approval****</t>
  </si>
  <si>
    <t>This disclosure has not yet been approved by the Departmental Secretary or Chief Executive</t>
  </si>
  <si>
    <t>Other sign-off****</t>
  </si>
  <si>
    <t>Type here who else has approved this disclosure</t>
  </si>
  <si>
    <t>This summary page updates automatically from the 'Travel', 'Hospitality', 'All other expenses', and 'Gifts and benefits' tabs.
Throughout this workbook, input cells are shaded light green.</t>
  </si>
  <si>
    <t>Summary of expenses</t>
  </si>
  <si>
    <t>Cost in NZ$</t>
  </si>
  <si>
    <t>GST  exc</t>
  </si>
  <si>
    <t>Count</t>
  </si>
  <si>
    <t>Travel expenses</t>
  </si>
  <si>
    <t>Number offered</t>
  </si>
  <si>
    <t>Number accepted</t>
  </si>
  <si>
    <t>Other expenses</t>
  </si>
  <si>
    <t>Number declined</t>
  </si>
  <si>
    <t>International Travel</t>
  </si>
  <si>
    <t>Domestic Travel</t>
  </si>
  <si>
    <t>Local Travel</t>
  </si>
  <si>
    <t xml:space="preserve">Notes </t>
  </si>
  <si>
    <t>* Headings on following tabs will pre populate with what you enter on this tab</t>
  </si>
  <si>
    <t>** Create a new workbook for a new or Acting Departmental secretary or Chief Executive</t>
  </si>
  <si>
    <t>*** Update if a shorter or different period is covered</t>
  </si>
  <si>
    <t>**** This disclosure must be approved by the Departmental secretary or Chief Executive and another appropriate party, e.g. Board Chair, Chief Financial Officer or Audit and Risk Committee member</t>
  </si>
  <si>
    <t>Text required for validation and checks - don't change, move, delete or overwrite</t>
  </si>
  <si>
    <t>Insert additional rows as needed: right click on a row number (left of screen) and select Insert - this will insert a row above selected row.</t>
  </si>
  <si>
    <t>Figures include GST (where applicable)</t>
  </si>
  <si>
    <t>Figures exclude GST</t>
  </si>
  <si>
    <t>Data and totals on this worksheet have NOT YET BEEN CHECKED AND CONFIRMED</t>
  </si>
  <si>
    <t>Data and totals on this worksheet checked and confirmed</t>
  </si>
  <si>
    <t>Data and totals have not yet been checked and confirmed for any sheet</t>
  </si>
  <si>
    <t>Some data and totals have not yet been checked and confirmed</t>
  </si>
  <si>
    <t>Data and totals checked on all sheets</t>
  </si>
  <si>
    <t>Not yet indicated</t>
  </si>
  <si>
    <t>GST inclusion inconsistent</t>
  </si>
  <si>
    <t>This disclosure has been approved by the Departmental Secretary or Chief Executive</t>
  </si>
  <si>
    <t>Cultural item - not appropriate to value</t>
  </si>
  <si>
    <t>Under $100</t>
  </si>
  <si>
    <t>$100 - $500</t>
  </si>
  <si>
    <t>$500 - $1,000</t>
  </si>
  <si>
    <t>Over $1,000</t>
  </si>
  <si>
    <t>Estimate not possible</t>
  </si>
  <si>
    <t>Accepted</t>
  </si>
  <si>
    <t>Declined</t>
  </si>
  <si>
    <t>Check - there are no hidden rows with data</t>
  </si>
  <si>
    <t>Error - this total includes data from 'hidden' rows</t>
  </si>
  <si>
    <t>Check - each entry provides sufficient information</t>
  </si>
  <si>
    <t>Not all lines have an entry for "Cost in NZ$" and "Type of expense"</t>
  </si>
  <si>
    <t>Not all lines have an entry for "Description", "Was the gift accepted?" and "Estimated value in NZ$"</t>
  </si>
  <si>
    <t>Check that # of 'costs' = 'type of expenses' (also "accepted/declined" for gifts &amp; benefits)</t>
  </si>
  <si>
    <t>These checks (F53 to F61) are imperfect - they count the entries in each column and checks these totals are the same</t>
  </si>
  <si>
    <t>Travel checks</t>
  </si>
  <si>
    <t>Hospitality check</t>
  </si>
  <si>
    <t>All other expenses check</t>
  </si>
  <si>
    <t>Gifts and benefits check</t>
  </si>
  <si>
    <t>Public Service Secretary or Chief Executive Expense Disclosure</t>
  </si>
  <si>
    <t xml:space="preserve">Organisation Name </t>
  </si>
  <si>
    <t>Public Service Secretary or Chief Executive</t>
  </si>
  <si>
    <t>Disclosure period start</t>
  </si>
  <si>
    <t>Disclosure period end</t>
  </si>
  <si>
    <t>GST on costs</t>
  </si>
  <si>
    <t>International, domestic and local travel expenses</t>
  </si>
  <si>
    <t>All expenses incurred by Public Service secretary or chief executive during international, domestic and local travel. Group expenses relating to each trip.</t>
  </si>
  <si>
    <r>
      <t xml:space="preserve">International Travel   </t>
    </r>
    <r>
      <rPr>
        <sz val="12"/>
        <color theme="0"/>
        <rFont val="Arial"/>
        <family val="2"/>
      </rPr>
      <t xml:space="preserve"> (including travel within NZ at beginning and end of overseas trip)</t>
    </r>
  </si>
  <si>
    <t>Date(s)*</t>
  </si>
  <si>
    <t>Cost in NZ$**</t>
  </si>
  <si>
    <r>
      <t xml:space="preserve">Purpose of travel
</t>
    </r>
    <r>
      <rPr>
        <sz val="10"/>
        <color theme="0"/>
        <rFont val="Arial"/>
        <family val="2"/>
      </rPr>
      <t>(e.g. attending XYZ conference for 3 days)***</t>
    </r>
  </si>
  <si>
    <r>
      <t xml:space="preserve">Type of expense
</t>
    </r>
    <r>
      <rPr>
        <sz val="10"/>
        <color theme="0"/>
        <rFont val="Arial"/>
        <family val="2"/>
      </rPr>
      <t>(e.g. hotel, airfares, taxis, meals &amp; for how many people)</t>
    </r>
  </si>
  <si>
    <t>Location(s)</t>
  </si>
  <si>
    <t>8-12 March 2026</t>
  </si>
  <si>
    <t>Sport Diplomacy mission to India with Minister Bishop</t>
  </si>
  <si>
    <t>India</t>
  </si>
  <si>
    <t>Taxi</t>
  </si>
  <si>
    <t>Auckland</t>
  </si>
  <si>
    <t>Change fee for return leg of personal trip to from Sydney to land Chch to fit in with HPSNZ board mtg in Christchurch</t>
  </si>
  <si>
    <t>Airfare</t>
  </si>
  <si>
    <t>Christchurch</t>
  </si>
  <si>
    <t>24-29 June 2026</t>
  </si>
  <si>
    <t>Attending FIFA World Cup &amp; other NZ Inc mtgs, guest of TVNZ; mtg w Canadian Sports Minister</t>
  </si>
  <si>
    <t>Vancouver</t>
  </si>
  <si>
    <t>Uber</t>
  </si>
  <si>
    <t>Meals x3</t>
  </si>
  <si>
    <t>entry visa</t>
  </si>
  <si>
    <t>Guest speaker at National Sports Covention (2 day conference)</t>
  </si>
  <si>
    <t>Airfare (one way)</t>
  </si>
  <si>
    <t>Akld to Melbourne</t>
  </si>
  <si>
    <t>Accommodation (3 nights)</t>
  </si>
  <si>
    <t>Melbourne</t>
  </si>
  <si>
    <t>Taxis</t>
  </si>
  <si>
    <t>Ubers</t>
  </si>
  <si>
    <t>Subtotal - international travel</t>
  </si>
  <si>
    <r>
      <t xml:space="preserve">Domestic Travel   </t>
    </r>
    <r>
      <rPr>
        <sz val="12"/>
        <color theme="0"/>
        <rFont val="Arial"/>
        <family val="2"/>
      </rPr>
      <t xml:space="preserve"> (within NZ, including travel to and from local airport)</t>
    </r>
  </si>
  <si>
    <r>
      <t xml:space="preserve">Purpose of travel
</t>
    </r>
    <r>
      <rPr>
        <sz val="10"/>
        <color theme="0"/>
        <rFont val="Arial"/>
        <family val="2"/>
      </rPr>
      <t>(e.g. visiting district office for two days...)***</t>
    </r>
  </si>
  <si>
    <t>9-15 July 2025</t>
  </si>
  <si>
    <t>2-day Sector Conference; internal and external mtgs; Black Ferns &amp; All Blacks tests</t>
  </si>
  <si>
    <t>Akld/Wgtn</t>
  </si>
  <si>
    <t>Accommodation (5 nights)</t>
  </si>
  <si>
    <t>Wellington</t>
  </si>
  <si>
    <t>Ubers / taxis</t>
  </si>
  <si>
    <t>Wgtn / Akld</t>
  </si>
  <si>
    <t>21/22 July 2025</t>
  </si>
  <si>
    <t>Meeting with Minister; internal &amp; external meetings</t>
  </si>
  <si>
    <t>Akld/Wgtn rtn</t>
  </si>
  <si>
    <t>Accommodation (1 night)</t>
  </si>
  <si>
    <t>Meals</t>
  </si>
  <si>
    <t>28-30 July 2025</t>
  </si>
  <si>
    <t>Taumata Maori Board mtg; internal &amp; external meetings</t>
  </si>
  <si>
    <t>Acccommodation (2 nights)</t>
  </si>
  <si>
    <t>Service fee</t>
  </si>
  <si>
    <t>4-7 Aug 2025</t>
  </si>
  <si>
    <t>2-day All staff in person hui</t>
  </si>
  <si>
    <t>taxis</t>
  </si>
  <si>
    <t>Wellington / Akld</t>
  </si>
  <si>
    <t>12-14 Aug 2025</t>
  </si>
  <si>
    <t xml:space="preserve">Internal meetings; mtg with MCH; AFRC </t>
  </si>
  <si>
    <t>Airfare +change</t>
  </si>
  <si>
    <t>Accommodation (2 nights)</t>
  </si>
  <si>
    <t>Wgtn/ Akld</t>
  </si>
  <si>
    <t>Meeting with Minister</t>
  </si>
  <si>
    <t>Airport parking - Wgtn for day</t>
  </si>
  <si>
    <t>Airport Parking</t>
  </si>
  <si>
    <t>Meeting with Minister; travel to airport</t>
  </si>
  <si>
    <t>Sport NZ Board meeting; internal &amp; external meetings</t>
  </si>
  <si>
    <t xml:space="preserve">Ubers </t>
  </si>
  <si>
    <t>wellington</t>
  </si>
  <si>
    <t>22/23 Aug</t>
  </si>
  <si>
    <t>Working from HPSNZ Chch; internal meetings</t>
  </si>
  <si>
    <t>Ubers x4</t>
  </si>
  <si>
    <t>Auckland/Chch</t>
  </si>
  <si>
    <t>26/27 Aug 2025</t>
  </si>
  <si>
    <t>Internal meetings</t>
  </si>
  <si>
    <t>Accommodation</t>
  </si>
  <si>
    <t>Ubers x5</t>
  </si>
  <si>
    <t>Attend AIMS Games with PM</t>
  </si>
  <si>
    <t>Akld/Tauranga rtn</t>
  </si>
  <si>
    <t>Ubers x2</t>
  </si>
  <si>
    <t>Akld/Tauranga</t>
  </si>
  <si>
    <t>7-10 Sept 2025</t>
  </si>
  <si>
    <t>Ubers x6</t>
  </si>
  <si>
    <t>Akld / Wgtn</t>
  </si>
  <si>
    <t>Meeting with Minister; internal meetings</t>
  </si>
  <si>
    <t>Airport parking (1 day)</t>
  </si>
  <si>
    <t>22-24 September 2025</t>
  </si>
  <si>
    <t>Internal meetings; GET offsite hui</t>
  </si>
  <si>
    <t>Akld/wgtn rtn</t>
  </si>
  <si>
    <t>Akld Airport parking (3 days)</t>
  </si>
  <si>
    <t>Akld &amp; Wgtn</t>
  </si>
  <si>
    <t>29-30 September 2025</t>
  </si>
  <si>
    <t>Akld and Wgtn</t>
  </si>
  <si>
    <t>Akld Airport parking 2 days</t>
  </si>
  <si>
    <t>8-9 Oct 2025</t>
  </si>
  <si>
    <t xml:space="preserve">Taumata Brd dinner and hui; </t>
  </si>
  <si>
    <t>Taumata Brd dinner and hui</t>
  </si>
  <si>
    <t>Akld airport parking (2 days)</t>
  </si>
  <si>
    <t>Wgtn &amp; Akld</t>
  </si>
  <si>
    <t>Speaking at Lincoln Uni Sport &amp; Rec forum</t>
  </si>
  <si>
    <t>Akld/Chch rtn</t>
  </si>
  <si>
    <t>Rental car</t>
  </si>
  <si>
    <t>Akld airport parking</t>
  </si>
  <si>
    <t>13-14 Oct 2025</t>
  </si>
  <si>
    <t>Officials; internal meetings</t>
  </si>
  <si>
    <t>29-30 Oct 2025</t>
  </si>
  <si>
    <t>Mtg with Min; Sport NZ Board meeting; RST CEO forum</t>
  </si>
  <si>
    <t>Meal</t>
  </si>
  <si>
    <t>Ubersx4</t>
  </si>
  <si>
    <t>Oct service fee</t>
  </si>
  <si>
    <t>Mtg with Sport BoP in Rotorua; speaking at local business chamber of commerce</t>
  </si>
  <si>
    <t>Airport parking</t>
  </si>
  <si>
    <t>17/20November 2025</t>
  </si>
  <si>
    <t>Internal meetingss; HPSNZ board meeting + rescheduled mtg w Minister</t>
  </si>
  <si>
    <t>17/20 November 2025</t>
  </si>
  <si>
    <t>Accommodation (2 night)</t>
  </si>
  <si>
    <t>17/20 November/11/2026</t>
  </si>
  <si>
    <t>27/28 November 2025</t>
  </si>
  <si>
    <t>Board meeting</t>
  </si>
  <si>
    <t>Ubers x3</t>
  </si>
  <si>
    <t>Nov service fee</t>
  </si>
  <si>
    <t>1-4 December 2025</t>
  </si>
  <si>
    <t>Annual review hearng; internal meetings; speaking at RSD forum</t>
  </si>
  <si>
    <t>8-10 Dec 2025</t>
  </si>
  <si>
    <t>Akld Airport parking, 3 days</t>
  </si>
  <si>
    <t>16-17 Dec 2025</t>
  </si>
  <si>
    <t>board meeting; internal meetings</t>
  </si>
  <si>
    <t xml:space="preserve">Airfare </t>
  </si>
  <si>
    <t>Accommodation (1 nights)</t>
  </si>
  <si>
    <t>Dec service fee</t>
  </si>
  <si>
    <t>20/21 Jan 2026</t>
  </si>
  <si>
    <t>Fuel</t>
  </si>
  <si>
    <t>January Service fee</t>
  </si>
  <si>
    <t>3-5 Feb 2026</t>
  </si>
  <si>
    <t>10 - 12 Feb 2026</t>
  </si>
  <si>
    <t>10-12 Feb 2026</t>
  </si>
  <si>
    <t>Attend NZ Rowing National Champs</t>
  </si>
  <si>
    <t>Mileage (290 km)</t>
  </si>
  <si>
    <t>Akld/Cambridge rtn</t>
  </si>
  <si>
    <t>23-26 Feb 2026</t>
  </si>
  <si>
    <t>Sport NZ Board mtg; GET strategic planning session; mtg with externals</t>
  </si>
  <si>
    <t>Akld / Wgtn rtn</t>
  </si>
  <si>
    <t>Tandem service fee</t>
  </si>
  <si>
    <t>2/3 March 2026</t>
  </si>
  <si>
    <t>GET offsite and internal meetings</t>
  </si>
  <si>
    <t>Airport parking, 2 days</t>
  </si>
  <si>
    <t>18-20 March 2026</t>
  </si>
  <si>
    <t>Taumata board meeting; internal meetings</t>
  </si>
  <si>
    <t>22/24 March 2026</t>
  </si>
  <si>
    <t>Accommodation (2night)</t>
  </si>
  <si>
    <t>30 March - 1 April 2026</t>
  </si>
  <si>
    <t>National TA Hui; meetings with Partners; working from HPSNZ</t>
  </si>
  <si>
    <t>Airfare (Akld/Chch rtn)</t>
  </si>
  <si>
    <t>Chch</t>
  </si>
  <si>
    <t>Akld &amp; Chch</t>
  </si>
  <si>
    <t>7-9 April 2026</t>
  </si>
  <si>
    <t>GET/SLG offsite</t>
  </si>
  <si>
    <t>Airfare (Akld/Wgtn)</t>
  </si>
  <si>
    <t>Acccommodation (2 night)</t>
  </si>
  <si>
    <t>Ubersx3</t>
  </si>
  <si>
    <t>14-17 April 2026</t>
  </si>
  <si>
    <t>Internal meetings; Audit Cttee mtg</t>
  </si>
  <si>
    <t>Airfare 14-21 April</t>
  </si>
  <si>
    <t>Akld/Wgtn/Chch/Wgtn/Ak</t>
  </si>
  <si>
    <t>14-15 April 2026</t>
  </si>
  <si>
    <t>15-19 April 2026</t>
  </si>
  <si>
    <t>Accommodation (4 nights)</t>
  </si>
  <si>
    <t>Rental car (4 days)</t>
  </si>
  <si>
    <t>Petrol</t>
  </si>
  <si>
    <t>Parking</t>
  </si>
  <si>
    <t>Auckland Airport</t>
  </si>
  <si>
    <t>19/21 April 2026</t>
  </si>
  <si>
    <t>Internal meetings; P&amp;C Cttee mtg; MCH induction session</t>
  </si>
  <si>
    <t>ubers x2</t>
  </si>
  <si>
    <t>28-30 April 2026</t>
  </si>
  <si>
    <t>GET mtg; Sport NZ Board mtg; internal meetings</t>
  </si>
  <si>
    <t>Airfare (1 way)</t>
  </si>
  <si>
    <t>Akld to Wgtn</t>
  </si>
  <si>
    <t>April</t>
  </si>
  <si>
    <t>Travel service fees</t>
  </si>
  <si>
    <t>Air travel</t>
  </si>
  <si>
    <t>4/5 May 2026</t>
  </si>
  <si>
    <t>Meeting with Minister; speaking at NZDF event; internal meetings</t>
  </si>
  <si>
    <t>Airfare (Akld/Wgtn rtn)</t>
  </si>
  <si>
    <t>Accommodation (Wgtn)</t>
  </si>
  <si>
    <t>10-13 May 2026</t>
  </si>
  <si>
    <t>HPSNZ board meeting and site visit (2 days); HP SLT offsite mtg</t>
  </si>
  <si>
    <t>Accommodadtion</t>
  </si>
  <si>
    <t>13/14 May 2026</t>
  </si>
  <si>
    <t>Chch/Wgtn/Akld</t>
  </si>
  <si>
    <t>24-26 May 2026</t>
  </si>
  <si>
    <t>Māori sport &amp; rec conference (2 days); Taumata Māori hui</t>
  </si>
  <si>
    <t>Akld/Rotorua/Wgtn</t>
  </si>
  <si>
    <t>Rotorua</t>
  </si>
  <si>
    <t>Akld and Rotorua</t>
  </si>
  <si>
    <t>Internal workshop and business unit offiste</t>
  </si>
  <si>
    <t>Wgtn to Akld</t>
  </si>
  <si>
    <t>26 - 28 May 2026</t>
  </si>
  <si>
    <t>Internal workshop and business unit offsite</t>
  </si>
  <si>
    <t>ubers x4</t>
  </si>
  <si>
    <t>2/3 June 2026</t>
  </si>
  <si>
    <t>Meeting with MCH; all day GET meeting</t>
  </si>
  <si>
    <t>Accommodation, 1 night</t>
  </si>
  <si>
    <t>15-17 June 2026</t>
  </si>
  <si>
    <t>Meeting with DIA; Estimates hearing; AFRC mtg; internal meetings</t>
  </si>
  <si>
    <t>22-24 June 2026</t>
  </si>
  <si>
    <t>GET hui; Sport NZ Board meeting and site visits</t>
  </si>
  <si>
    <t>Akld and Chch</t>
  </si>
  <si>
    <t>Subtotal - domestic travel</t>
  </si>
  <si>
    <r>
      <t xml:space="preserve">Local Travel    </t>
    </r>
    <r>
      <rPr>
        <sz val="12"/>
        <color theme="0"/>
        <rFont val="Arial"/>
        <family val="2"/>
      </rPr>
      <t>(within City, excluding travel to airport)</t>
    </r>
  </si>
  <si>
    <r>
      <t>Purpose of travel</t>
    </r>
    <r>
      <rPr>
        <sz val="10"/>
        <color theme="0"/>
        <rFont val="Arial"/>
        <family val="2"/>
      </rPr>
      <t xml:space="preserve">
(e.g. meeting with Minister)***</t>
    </r>
  </si>
  <si>
    <r>
      <t xml:space="preserve">Type of expense
</t>
    </r>
    <r>
      <rPr>
        <sz val="10"/>
        <color theme="0"/>
        <rFont val="Arial"/>
        <family val="2"/>
      </rPr>
      <t>(e.g. taxi, parking, bus)</t>
    </r>
  </si>
  <si>
    <t>Board site visits in Sth Akld</t>
  </si>
  <si>
    <t>Uberx2</t>
  </si>
  <si>
    <t>Attending races at Ellerslie, guest of TAB</t>
  </si>
  <si>
    <t>Uber x2</t>
  </si>
  <si>
    <t>Attending All Blacks v Sth Africa, Eden Park guest of NZ Rugby</t>
  </si>
  <si>
    <t xml:space="preserve">Uber </t>
  </si>
  <si>
    <t>Attending Aktive event at Government Hse</t>
  </si>
  <si>
    <t xml:space="preserve">Meeting in Akld before going to airport </t>
  </si>
  <si>
    <t>Sport Diplomacy launch</t>
  </si>
  <si>
    <t>Attending Paralympics NZ team farewell, Govt Hse</t>
  </si>
  <si>
    <t>Guest speaker at Bold Steps conference, Spark Arena</t>
  </si>
  <si>
    <t>Parking, Auckland CBD for netball international stakeholder mtg</t>
  </si>
  <si>
    <t>Partners mtg, Akld CBD</t>
  </si>
  <si>
    <t>Halberg Awards</t>
  </si>
  <si>
    <t>Uber x4</t>
  </si>
  <si>
    <t>Meetings Akld CBD</t>
  </si>
  <si>
    <t>Attending Track Stars meet</t>
  </si>
  <si>
    <t>NZ Cricket Awards</t>
  </si>
  <si>
    <t>Meeting with stakeholder</t>
  </si>
  <si>
    <t>ONOC meeting</t>
  </si>
  <si>
    <t>Dinner with NZOC and ONOC mtgs</t>
  </si>
  <si>
    <t>Uber x3</t>
  </si>
  <si>
    <t>ONOC Gala dinner</t>
  </si>
  <si>
    <t>NSO Forum</t>
  </si>
  <si>
    <t>Meeting with RST Network</t>
  </si>
  <si>
    <t>Dinner with RST Network</t>
  </si>
  <si>
    <t>Connections Conference &amp; Awards dinner</t>
  </si>
  <si>
    <t>Uberx3</t>
  </si>
  <si>
    <t>NSO meeting and dinner</t>
  </si>
  <si>
    <t>Subtotal - local travel</t>
  </si>
  <si>
    <t>Total travel expenses</t>
  </si>
  <si>
    <t>* Any non-standard date format or date outside 1 July - 30 June will raise an alert. Check entry and select 'Yes' to accept/continue.</t>
  </si>
  <si>
    <t>** Note that GST may not apply to overseas purchases.</t>
  </si>
  <si>
    <t>*** Please include sufficient information to explain the trip and its costs including destination and duration.</t>
  </si>
  <si>
    <t>Group expenditure relating to each overseas trip.</t>
  </si>
  <si>
    <t>Subtotals and totals will appear automatically once you put information in rows above.</t>
  </si>
  <si>
    <t>Mark clearly if there is no information to disclose - provide a note to this effect in the 'Date' column (column A) for each travel category (local, domestic and international).</t>
  </si>
  <si>
    <t>Hospitality Offered to Third Parties*</t>
  </si>
  <si>
    <t>All hospitality expenses provided by the Public Service secretary or chief executive in the context of their job to anyone external to the Public Service or statutory Crown entities.</t>
  </si>
  <si>
    <t>Date(s)**</t>
  </si>
  <si>
    <r>
      <t xml:space="preserve">Purpose of hospitality
</t>
    </r>
    <r>
      <rPr>
        <sz val="10"/>
        <color theme="0"/>
        <rFont val="Arial"/>
        <family val="2"/>
      </rPr>
      <t xml:space="preserve">(e.g. hosting delegation from China, building relationships, team building) </t>
    </r>
  </si>
  <si>
    <r>
      <t xml:space="preserve">Type of expense
</t>
    </r>
    <r>
      <rPr>
        <sz val="10"/>
        <color theme="0"/>
        <rFont val="Arial"/>
        <family val="2"/>
      </rPr>
      <t>(what and for how many e.g. dinner for 5)</t>
    </r>
  </si>
  <si>
    <t>Breakfast meeting with Cricket NZ (2 pax)</t>
  </si>
  <si>
    <t>Breakfast, 2 pax</t>
  </si>
  <si>
    <t>Lunch meeting with GGNZ (2 pax)</t>
  </si>
  <si>
    <t>Lunch, 2 pax</t>
  </si>
  <si>
    <t>Coffees for meeting with RST Network</t>
  </si>
  <si>
    <t>Coffees x4</t>
  </si>
  <si>
    <t>Breakfast meeting - netball international stakeholders (3 pax)</t>
  </si>
  <si>
    <t>Breakfast, 3 pax</t>
  </si>
  <si>
    <t>Dinner meeting with P&amp;C Cttee Chair (2 pax)</t>
  </si>
  <si>
    <t>Dinner, 2 pax</t>
  </si>
  <si>
    <t>Breakfast meeting, NZ Football (4 pax)</t>
  </si>
  <si>
    <t>Breakfast (4 pax)</t>
  </si>
  <si>
    <t xml:space="preserve">Total hospitality expenses </t>
  </si>
  <si>
    <t>* Third parties include people and organisations external to the public service or statutory Crown entities.</t>
  </si>
  <si>
    <t>** Any non-standard date format or date outside 1 July - 30 June will raise an alert. Check entry and select 'Yes' to accept/continue.</t>
  </si>
  <si>
    <t>Total cost will appear automatically once you put information in rows above.</t>
  </si>
  <si>
    <t>Mark clearly if there is no information to disclose - provide a note to this effect in the 'Date' column (column A).</t>
  </si>
  <si>
    <t>Public Service secretary or Chief Executive</t>
  </si>
  <si>
    <t>All Other Expenses</t>
  </si>
  <si>
    <t>All other expenditure incurred by the Public Service secretary or chief executive that is not travel, hospitality or gifts.
Include e.g. phone and data costs, subscriptions, membership fees, conference fees, professional development costs, books and anything else.</t>
  </si>
  <si>
    <r>
      <t xml:space="preserve">Purpose of expense
</t>
    </r>
    <r>
      <rPr>
        <sz val="10"/>
        <color theme="0"/>
        <rFont val="Arial"/>
        <family val="2"/>
      </rPr>
      <t>(e.g. subscription part of employment agreement, development as agreed with PSC)</t>
    </r>
  </si>
  <si>
    <r>
      <t xml:space="preserve">Type of expense
</t>
    </r>
    <r>
      <rPr>
        <sz val="10"/>
        <color theme="0"/>
        <rFont val="Arial"/>
        <family val="2"/>
      </rPr>
      <t>(e.g. phone and data costs, membership fees)</t>
    </r>
  </si>
  <si>
    <t>Vaccinations</t>
  </si>
  <si>
    <t>Dinner</t>
  </si>
  <si>
    <t xml:space="preserve">Total other expenses </t>
  </si>
  <si>
    <t>Notes</t>
  </si>
  <si>
    <t>Public Service Secretary or Chief Executive Gifts and Benefits Disclosure</t>
  </si>
  <si>
    <t>GST on values</t>
  </si>
  <si>
    <t>Gifts and Benefits over $50 annual value</t>
  </si>
  <si>
    <r>
      <rPr>
        <b/>
        <i/>
        <sz val="10"/>
        <color theme="1"/>
        <rFont val="Arial"/>
        <family val="2"/>
      </rPr>
      <t>Include all gifts, invitations to events and other hospitality</t>
    </r>
    <r>
      <rPr>
        <i/>
        <sz val="10"/>
        <color theme="1"/>
        <rFont val="Arial"/>
        <family val="2"/>
      </rPr>
      <t xml:space="preserve">, of $50 or more in total value per year, offered to the Public Service secretary or chief executive by people external to the Public Service.
Include all gifts, invitations or other hospitality </t>
    </r>
    <r>
      <rPr>
        <b/>
        <i/>
        <sz val="10"/>
        <color theme="1"/>
        <rFont val="Arial"/>
        <family val="2"/>
      </rPr>
      <t>whether accepted or declined</t>
    </r>
    <r>
      <rPr>
        <i/>
        <sz val="10"/>
        <color theme="1"/>
        <rFont val="Arial"/>
        <family val="2"/>
      </rPr>
      <t>.</t>
    </r>
  </si>
  <si>
    <r>
      <t xml:space="preserve">Description
</t>
    </r>
    <r>
      <rPr>
        <sz val="10"/>
        <color theme="0"/>
        <rFont val="Arial"/>
        <family val="2"/>
      </rPr>
      <t>(e.g. event tickets, etc.)</t>
    </r>
  </si>
  <si>
    <r>
      <t xml:space="preserve">Was the gift accepted?
</t>
    </r>
    <r>
      <rPr>
        <sz val="10"/>
        <color theme="0"/>
        <rFont val="Arial"/>
        <family val="2"/>
      </rPr>
      <t>(drop-down list in cell)</t>
    </r>
  </si>
  <si>
    <r>
      <t xml:space="preserve">Offered by 
</t>
    </r>
    <r>
      <rPr>
        <sz val="10"/>
        <color theme="0"/>
        <rFont val="Arial"/>
        <family val="2"/>
      </rPr>
      <t>(who made the offer?)</t>
    </r>
  </si>
  <si>
    <r>
      <t>Estimated value in NZ$</t>
    </r>
    <r>
      <rPr>
        <sz val="10"/>
        <color theme="0"/>
        <rFont val="Arial"/>
        <family val="2"/>
      </rPr>
      <t xml:space="preserve">
(drop-down list in cell </t>
    </r>
    <r>
      <rPr>
        <sz val="10"/>
        <rFont val="Arial"/>
        <family val="2"/>
      </rPr>
      <t>but</t>
    </r>
    <r>
      <rPr>
        <sz val="10"/>
        <color theme="0"/>
        <rFont val="Arial"/>
        <family val="2"/>
      </rPr>
      <t xml:space="preserve"> provide specific value if possible)</t>
    </r>
  </si>
  <si>
    <r>
      <t xml:space="preserve">Other comments
</t>
    </r>
    <r>
      <rPr>
        <sz val="10"/>
        <color theme="0"/>
        <rFont val="Arial"/>
        <family val="2"/>
      </rPr>
      <t>(e.g. if given to others, whom?)</t>
    </r>
  </si>
  <si>
    <t>Ticket to Black Ferns &amp; All Blacks double-header</t>
  </si>
  <si>
    <t>NZ Rugby</t>
  </si>
  <si>
    <t>Ticket to Netball Grand Final</t>
  </si>
  <si>
    <t>Netball NZ</t>
  </si>
  <si>
    <t>Ticket to All Blacks v Sth Africa, Eden Park</t>
  </si>
  <si>
    <t>Ticket and hosting at Races, Ellerslie</t>
  </si>
  <si>
    <t>TAB</t>
  </si>
  <si>
    <t>Ticket to All Blacks v Sth Africa, Wellington</t>
  </si>
  <si>
    <t>Ticket to Silver Ferns v Sth Africa, Auckland</t>
  </si>
  <si>
    <t>Gymnastics NZ Nationals</t>
  </si>
  <si>
    <t>Gymnastics NZ</t>
  </si>
  <si>
    <t>Ticket and hosting, NZRL Pacific Championship</t>
  </si>
  <si>
    <t>NZRL</t>
  </si>
  <si>
    <t>Ticket and hosting, Men's Final, ASB Tennis, Akld</t>
  </si>
  <si>
    <t>NZ Tennis</t>
  </si>
  <si>
    <t>Ticket and hosting, T20I Double header v Proteas</t>
  </si>
  <si>
    <t>NZ Cricket</t>
  </si>
  <si>
    <t>Hosting at Track Stars</t>
  </si>
  <si>
    <t>Athletics NZ</t>
  </si>
  <si>
    <t>Ticket to NZ Cricket Awards dinner</t>
  </si>
  <si>
    <t>18 &amp; 19 April 2026</t>
  </si>
  <si>
    <t>Ticket and hosting at ITM Christchurch Supercars</t>
  </si>
  <si>
    <t>Major Events, MBIE</t>
  </si>
  <si>
    <t>Ticket, hosting, international travel and accomm to attend NZ v Belgium, FIFA World Cup, Vancouver</t>
  </si>
  <si>
    <t>TVNZ</t>
  </si>
  <si>
    <t>Total count of gift/benefit entries:</t>
  </si>
  <si>
    <t>Offered</t>
  </si>
  <si>
    <t>A one-off offer of something worth $25 is not included, but if the offer is made more than once a year, it should be disclosed.</t>
  </si>
  <si>
    <t>Include items such as invitations to functions and events, event tickets, gifts from overseas counterparts and commercial organisations (including that accepted by immediate family members).</t>
  </si>
  <si>
    <t>Include gifts and benefits that are declined.</t>
  </si>
  <si>
    <t>Number of gifts/benefits will update automatically once you put information in rows above.</t>
  </si>
  <si>
    <t>Ubers x10</t>
  </si>
  <si>
    <t>30 June - 5 July 2026</t>
  </si>
  <si>
    <t>Passport photo for entry visa</t>
  </si>
  <si>
    <t>May</t>
  </si>
  <si>
    <t>March</t>
  </si>
  <si>
    <t>Feburary</t>
  </si>
  <si>
    <t>January</t>
  </si>
  <si>
    <t>December</t>
  </si>
  <si>
    <t>November</t>
  </si>
  <si>
    <t>September</t>
  </si>
  <si>
    <t>August</t>
  </si>
  <si>
    <t>Wellington/ Akld</t>
  </si>
  <si>
    <t>Wgtn</t>
  </si>
  <si>
    <t>Internal meetings; mtg with Minister</t>
  </si>
  <si>
    <t>Meeting with Minister;  internal meetings</t>
  </si>
  <si>
    <t>meetings with Partners, HPSNZ staff</t>
  </si>
  <si>
    <t>Hamish Armstrong, Group Financial Controller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</si>
</sst>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quot;$&quot;#,##0.00_);[Red]\(&quot;$&quot;#,##0.00\)"/>
    <numFmt numFmtId="165" formatCode="_(&quot;$&quot;* #,##0.00_);_(&quot;$&quot;* \(#,##0.00\);_(&quot;$&quot;* &quot;-&quot;??_);_(@_)"/>
    <numFmt numFmtId="166" formatCode="&quot;$&quot;#,##0.00"/>
    <numFmt numFmtId="167" formatCode="[$-1409]d\ mmmm\ yyyy;@"/>
  </numFmts>
  <fonts count="42" x14ac:knownFonts="1">
    <font>
      <sz val="10"/>
      <color theme="1"/>
      <name val="Arial"/>
      <family val="2"/>
    </font>
    <font>
      <b/>
      <sz val="10"/>
      <color indexed="8"/>
      <name val="Arial"/>
      <family val="2"/>
    </font>
    <font>
      <b/>
      <i/>
      <sz val="12"/>
      <color indexed="8"/>
      <name val="Arial"/>
      <family val="2"/>
    </font>
    <font>
      <b/>
      <sz val="12"/>
      <color indexed="8"/>
      <name val="Arial"/>
      <family val="2"/>
    </font>
    <font>
      <b/>
      <sz val="10"/>
      <color theme="1"/>
      <name val="Arial"/>
      <family val="2"/>
    </font>
    <font>
      <i/>
      <sz val="10"/>
      <color indexed="8"/>
      <name val="Arial"/>
      <family val="2"/>
    </font>
    <font>
      <sz val="10"/>
      <color indexed="8"/>
      <name val="Arial"/>
      <family val="2"/>
    </font>
    <font>
      <sz val="11"/>
      <color theme="1"/>
      <name val="Arial"/>
      <family val="2"/>
    </font>
    <font>
      <i/>
      <sz val="10"/>
      <color theme="1"/>
      <name val="Arial"/>
      <family val="2"/>
    </font>
    <font>
      <b/>
      <i/>
      <sz val="10"/>
      <color theme="1"/>
      <name val="Arial"/>
      <family val="2"/>
    </font>
    <font>
      <u/>
      <sz val="10"/>
      <color theme="10"/>
      <name val="Arial"/>
      <family val="2"/>
    </font>
    <font>
      <sz val="11"/>
      <name val="Arial"/>
      <family val="2"/>
    </font>
    <font>
      <u/>
      <sz val="11"/>
      <color theme="10"/>
      <name val="Arial"/>
      <family val="2"/>
    </font>
    <font>
      <sz val="12"/>
      <color theme="1"/>
      <name val="Arial"/>
      <family val="2"/>
    </font>
    <font>
      <sz val="12"/>
      <color indexed="8"/>
      <name val="Arial"/>
      <family val="2"/>
    </font>
    <font>
      <sz val="10"/>
      <name val="Arial"/>
      <family val="2"/>
    </font>
    <font>
      <sz val="10"/>
      <color theme="0"/>
      <name val="Arial"/>
      <family val="2"/>
    </font>
    <font>
      <b/>
      <sz val="12"/>
      <name val="Arial"/>
      <family val="2"/>
    </font>
    <font>
      <b/>
      <sz val="12"/>
      <color theme="0"/>
      <name val="Arial"/>
      <family val="2"/>
    </font>
    <font>
      <b/>
      <sz val="11"/>
      <color theme="0"/>
      <name val="Arial"/>
      <family val="2"/>
    </font>
    <font>
      <b/>
      <sz val="10"/>
      <color theme="0"/>
      <name val="Arial"/>
      <family val="2"/>
    </font>
    <font>
      <b/>
      <sz val="10"/>
      <name val="Arial"/>
      <family val="2"/>
    </font>
    <font>
      <b/>
      <sz val="16"/>
      <color theme="0"/>
      <name val="Arial"/>
      <family val="2"/>
    </font>
    <font>
      <sz val="10"/>
      <color theme="1"/>
      <name val="Arial"/>
      <family val="2"/>
    </font>
    <font>
      <sz val="12"/>
      <color theme="0"/>
      <name val="Arial"/>
      <family val="2"/>
    </font>
    <font>
      <b/>
      <sz val="12"/>
      <color rgb="FFFF0000"/>
      <name val="Arial"/>
      <family val="2"/>
    </font>
    <font>
      <b/>
      <sz val="12"/>
      <color theme="1"/>
      <name val="Arial"/>
      <family val="2"/>
    </font>
    <font>
      <sz val="11"/>
      <color rgb="FFFF0000"/>
      <name val="Arial"/>
      <family val="2"/>
    </font>
    <font>
      <sz val="11"/>
      <color theme="10"/>
      <name val="Arial"/>
      <family val="2"/>
    </font>
    <font>
      <sz val="9"/>
      <color indexed="81"/>
      <name val="Tahoma"/>
      <family val="2"/>
    </font>
    <font>
      <b/>
      <sz val="10"/>
      <color theme="1" tint="0.499984740745262"/>
      <name val="Arial"/>
      <family val="2"/>
    </font>
    <font>
      <sz val="10"/>
      <color theme="1" tint="0.499984740745262"/>
      <name val="Arial"/>
      <family val="2"/>
    </font>
    <font>
      <b/>
      <sz val="11"/>
      <color theme="1"/>
      <name val="Arial"/>
      <family val="2"/>
    </font>
    <font>
      <b/>
      <sz val="10"/>
      <color rgb="FFFFC000"/>
      <name val="Arial"/>
      <family val="2"/>
    </font>
    <font>
      <sz val="12"/>
      <color theme="0" tint="-0.499984740745262"/>
      <name val="Arial"/>
      <family val="2"/>
    </font>
    <font>
      <u/>
      <sz val="11"/>
      <name val="Arial"/>
      <family val="2"/>
    </font>
    <font>
      <b/>
      <sz val="11"/>
      <color rgb="FFFF0000"/>
      <name val="Arial"/>
      <family val="2"/>
    </font>
    <font>
      <b/>
      <sz val="14"/>
      <color theme="0"/>
      <name val="Arial"/>
      <family val="2"/>
    </font>
    <font>
      <u/>
      <sz val="11"/>
      <color theme="1"/>
      <name val="Arial"/>
      <family val="2"/>
    </font>
    <font>
      <sz val="10"/>
      <color rgb="FFFF0000"/>
      <name val="Arial"/>
      <family val="2"/>
    </font>
    <font>
      <sz val="8"/>
      <color theme="1"/>
      <name val="Arial"/>
      <family val="2"/>
    </font>
    <font>
      <sz val="8"/>
      <name val="Arial"/>
      <family val="2"/>
    </font>
  </fonts>
  <fills count="13">
    <fill>
      <patternFill patternType="none"/>
    </fill>
    <fill>
      <patternFill patternType="gray125"/>
    </fill>
    <fill>
      <patternFill patternType="solid">
        <fgColor theme="3" tint="-0.249977111117893"/>
        <bgColor indexed="64"/>
      </patternFill>
    </fill>
    <fill>
      <patternFill patternType="solid">
        <fgColor theme="3" tint="0.39997558519241921"/>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theme="9" tint="0.39997558519241921"/>
        <bgColor indexed="64"/>
      </patternFill>
    </fill>
    <fill>
      <patternFill patternType="solid">
        <fgColor theme="8" tint="-0.249977111117893"/>
        <bgColor indexed="64"/>
      </patternFill>
    </fill>
    <fill>
      <patternFill patternType="solid">
        <fgColor theme="8" tint="0.39997558519241921"/>
        <bgColor indexed="64"/>
      </patternFill>
    </fill>
    <fill>
      <patternFill patternType="solid">
        <fgColor rgb="FF99FF99"/>
        <bgColor indexed="64"/>
      </patternFill>
    </fill>
    <fill>
      <patternFill patternType="solid">
        <fgColor rgb="FFCCFFCC"/>
        <bgColor indexed="64"/>
      </patternFill>
    </fill>
    <fill>
      <patternFill patternType="solid">
        <fgColor theme="0"/>
        <bgColor indexed="64"/>
      </patternFill>
    </fill>
    <fill>
      <patternFill patternType="solid">
        <fgColor rgb="FF92D050"/>
        <bgColor indexed="64"/>
      </patternFill>
    </fill>
  </fills>
  <borders count="9">
    <border>
      <left/>
      <right/>
      <top/>
      <bottom/>
      <diagonal/>
    </border>
    <border>
      <left style="thin">
        <color indexed="64"/>
      </left>
      <right/>
      <top/>
      <bottom/>
      <diagonal/>
    </border>
    <border>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right/>
      <top style="thin">
        <color theme="0" tint="-0.24994659260841701"/>
      </top>
      <bottom/>
      <diagonal/>
    </border>
    <border>
      <left style="thin">
        <color indexed="64"/>
      </left>
      <right style="thin">
        <color indexed="64"/>
      </right>
      <top style="thin">
        <color indexed="64"/>
      </top>
      <bottom style="thin">
        <color indexed="64"/>
      </bottom>
      <diagonal/>
    </border>
    <border>
      <left style="thin">
        <color theme="0" tint="-0.24994659260841701"/>
      </left>
      <right style="thin">
        <color theme="0" tint="-0.24994659260841701"/>
      </right>
      <top/>
      <bottom style="thin">
        <color theme="0" tint="-0.24994659260841701"/>
      </bottom>
      <diagonal/>
    </border>
  </borders>
  <cellStyleXfs count="3">
    <xf numFmtId="0" fontId="0" fillId="0" borderId="0"/>
    <xf numFmtId="0" fontId="10" fillId="0" borderId="0" applyNumberFormat="0" applyFill="0" applyBorder="0" applyAlignment="0" applyProtection="0"/>
    <xf numFmtId="165" fontId="23" fillId="0" borderId="0" applyFont="0" applyFill="0" applyBorder="0" applyAlignment="0" applyProtection="0"/>
  </cellStyleXfs>
  <cellXfs count="166">
    <xf numFmtId="0" fontId="0" fillId="0" borderId="0" xfId="0"/>
    <xf numFmtId="0" fontId="0" fillId="0" borderId="0" xfId="0" applyAlignment="1" applyProtection="1">
      <alignment wrapText="1"/>
      <protection locked="0"/>
    </xf>
    <xf numFmtId="0" fontId="0" fillId="0" borderId="0" xfId="0" applyProtection="1">
      <protection locked="0"/>
    </xf>
    <xf numFmtId="0" fontId="18" fillId="2" borderId="0" xfId="0" applyFont="1" applyFill="1" applyAlignment="1">
      <alignment vertical="center" wrapText="1" readingOrder="1"/>
    </xf>
    <xf numFmtId="0" fontId="0" fillId="5" borderId="0" xfId="0" applyFill="1" applyAlignment="1">
      <alignment wrapText="1"/>
    </xf>
    <xf numFmtId="0" fontId="18" fillId="0" borderId="0" xfId="0" applyFont="1" applyAlignment="1">
      <alignment vertical="center" wrapText="1" readingOrder="1"/>
    </xf>
    <xf numFmtId="0" fontId="17" fillId="0" borderId="0" xfId="0" applyFont="1" applyAlignment="1">
      <alignment vertical="center" wrapText="1" readingOrder="1"/>
    </xf>
    <xf numFmtId="0" fontId="21" fillId="0" borderId="0" xfId="0" applyFont="1" applyAlignment="1">
      <alignment vertical="center" wrapText="1" readingOrder="1"/>
    </xf>
    <xf numFmtId="0" fontId="21" fillId="0" borderId="3" xfId="0" applyFont="1" applyBorder="1" applyAlignment="1">
      <alignment vertical="center" wrapText="1" readingOrder="1"/>
    </xf>
    <xf numFmtId="0" fontId="30" fillId="0" borderId="3" xfId="0" applyFont="1" applyBorder="1" applyAlignment="1">
      <alignment horizontal="left" vertical="center" wrapText="1" indent="2" readingOrder="1"/>
    </xf>
    <xf numFmtId="0" fontId="0" fillId="4" borderId="0" xfId="0" applyFill="1"/>
    <xf numFmtId="0" fontId="0" fillId="5" borderId="0" xfId="0" applyFill="1"/>
    <xf numFmtId="0" fontId="4" fillId="6" borderId="0" xfId="0" applyFont="1" applyFill="1"/>
    <xf numFmtId="0" fontId="4" fillId="6" borderId="0" xfId="0" applyFont="1" applyFill="1" applyAlignment="1">
      <alignment wrapText="1"/>
    </xf>
    <xf numFmtId="0" fontId="26" fillId="0" borderId="0" xfId="0" applyFont="1"/>
    <xf numFmtId="166" fontId="25" fillId="0" borderId="0" xfId="0" applyNumberFormat="1" applyFont="1" applyAlignment="1">
      <alignment vertical="center" wrapText="1"/>
    </xf>
    <xf numFmtId="0" fontId="19" fillId="0" borderId="0" xfId="0" applyFont="1" applyAlignment="1">
      <alignment horizontal="center" vertical="center" wrapText="1"/>
    </xf>
    <xf numFmtId="0" fontId="0" fillId="0" borderId="0" xfId="0" applyAlignment="1">
      <alignment wrapText="1"/>
    </xf>
    <xf numFmtId="0" fontId="4" fillId="0" borderId="0" xfId="0" applyFont="1" applyAlignment="1">
      <alignment wrapText="1"/>
    </xf>
    <xf numFmtId="0" fontId="1" fillId="0" borderId="0" xfId="0" applyFont="1" applyAlignment="1">
      <alignment wrapText="1"/>
    </xf>
    <xf numFmtId="0" fontId="0" fillId="0" borderId="0" xfId="0" applyAlignment="1">
      <alignment vertical="center"/>
    </xf>
    <xf numFmtId="0" fontId="4" fillId="0" borderId="0" xfId="0" applyFont="1"/>
    <xf numFmtId="0" fontId="0" fillId="0" borderId="0" xfId="0" applyAlignment="1">
      <alignment horizontal="justify" vertical="center"/>
    </xf>
    <xf numFmtId="0" fontId="14" fillId="0" borderId="0" xfId="0" applyFont="1" applyAlignment="1">
      <alignment vertical="center" wrapText="1" readingOrder="1"/>
    </xf>
    <xf numFmtId="0" fontId="20" fillId="3" borderId="0" xfId="0" applyFont="1" applyFill="1" applyAlignment="1">
      <alignment vertical="center" wrapText="1"/>
    </xf>
    <xf numFmtId="0" fontId="0" fillId="0" borderId="0" xfId="0" applyAlignment="1">
      <alignment vertical="top"/>
    </xf>
    <xf numFmtId="0" fontId="0" fillId="0" borderId="0" xfId="0" applyAlignment="1">
      <alignment vertical="top" wrapText="1"/>
    </xf>
    <xf numFmtId="0" fontId="3" fillId="0" borderId="0" xfId="0" applyFont="1" applyAlignment="1">
      <alignment wrapText="1"/>
    </xf>
    <xf numFmtId="0" fontId="0" fillId="0" borderId="0" xfId="0" applyAlignment="1">
      <alignment vertical="center" wrapText="1"/>
    </xf>
    <xf numFmtId="0" fontId="2" fillId="0" borderId="0" xfId="0" applyFont="1" applyAlignment="1">
      <alignment wrapText="1"/>
    </xf>
    <xf numFmtId="0" fontId="1" fillId="0" borderId="0" xfId="0" applyFont="1" applyAlignment="1">
      <alignment vertical="center" wrapText="1"/>
    </xf>
    <xf numFmtId="0" fontId="19" fillId="3" borderId="0" xfId="0" applyFont="1" applyFill="1" applyAlignment="1">
      <alignment vertical="center" wrapText="1" readingOrder="1"/>
    </xf>
    <xf numFmtId="0" fontId="16" fillId="3" borderId="0" xfId="0" applyFont="1" applyFill="1"/>
    <xf numFmtId="1" fontId="21" fillId="0" borderId="5" xfId="0" applyNumberFormat="1" applyFont="1" applyBorder="1" applyAlignment="1">
      <alignment horizontal="center" vertical="center" wrapText="1"/>
    </xf>
    <xf numFmtId="0" fontId="15" fillId="0" borderId="0" xfId="0" applyFont="1" applyAlignment="1">
      <alignment vertical="center"/>
    </xf>
    <xf numFmtId="1" fontId="17" fillId="0" borderId="0" xfId="0" applyNumberFormat="1" applyFont="1" applyAlignment="1">
      <alignment horizontal="center" vertical="center" wrapText="1"/>
    </xf>
    <xf numFmtId="165" fontId="17" fillId="0" borderId="0" xfId="2" applyFont="1" applyFill="1" applyBorder="1" applyAlignment="1" applyProtection="1">
      <alignment vertical="center" wrapText="1" readingOrder="1"/>
    </xf>
    <xf numFmtId="0" fontId="15" fillId="0" borderId="0" xfId="0" applyFont="1" applyAlignment="1">
      <alignment vertical="center" wrapText="1"/>
    </xf>
    <xf numFmtId="0" fontId="0" fillId="5" borderId="0" xfId="0" applyFill="1" applyAlignment="1">
      <alignment horizontal="left" vertical="top"/>
    </xf>
    <xf numFmtId="0" fontId="18" fillId="2" borderId="0" xfId="0" applyFont="1" applyFill="1" applyAlignment="1">
      <alignment horizontal="center" vertical="center"/>
    </xf>
    <xf numFmtId="0" fontId="27" fillId="0" borderId="0" xfId="0" applyFont="1" applyAlignment="1">
      <alignment horizontal="center"/>
    </xf>
    <xf numFmtId="0" fontId="11" fillId="0" borderId="0" xfId="0" applyFont="1" applyAlignment="1">
      <alignment vertical="center"/>
    </xf>
    <xf numFmtId="0" fontId="19" fillId="2" borderId="0" xfId="0" applyFont="1" applyFill="1" applyAlignment="1">
      <alignment horizontal="justify" vertical="center"/>
    </xf>
    <xf numFmtId="0" fontId="7" fillId="0" borderId="0" xfId="0" applyFont="1" applyAlignment="1">
      <alignment vertical="center"/>
    </xf>
    <xf numFmtId="0" fontId="7" fillId="0" borderId="0" xfId="0" applyFont="1" applyAlignment="1">
      <alignment vertical="center" wrapText="1"/>
    </xf>
    <xf numFmtId="0" fontId="11" fillId="0" borderId="0" xfId="0" applyFont="1" applyAlignment="1">
      <alignment horizontal="justify" vertical="center"/>
    </xf>
    <xf numFmtId="0" fontId="7" fillId="0" borderId="0" xfId="0" applyFont="1" applyAlignment="1">
      <alignment horizontal="justify" vertical="center"/>
    </xf>
    <xf numFmtId="0" fontId="19" fillId="3" borderId="0" xfId="0" applyFont="1" applyFill="1" applyAlignment="1">
      <alignment horizontal="justify" vertical="center"/>
    </xf>
    <xf numFmtId="0" fontId="11" fillId="0" borderId="0" xfId="1" applyFont="1" applyAlignment="1" applyProtection="1">
      <alignment horizontal="justify" vertical="center"/>
    </xf>
    <xf numFmtId="0" fontId="11" fillId="0" borderId="0" xfId="0" applyFont="1" applyAlignment="1">
      <alignment horizontal="left" vertical="center" wrapText="1"/>
    </xf>
    <xf numFmtId="0" fontId="12" fillId="0" borderId="0" xfId="1" applyFont="1" applyAlignment="1" applyProtection="1">
      <alignment vertical="center"/>
    </xf>
    <xf numFmtId="0" fontId="12" fillId="0" borderId="0" xfId="1" applyFont="1" applyAlignment="1" applyProtection="1">
      <alignment horizontal="justify" vertical="center"/>
    </xf>
    <xf numFmtId="0" fontId="11" fillId="0" borderId="0" xfId="0" applyFont="1" applyAlignment="1">
      <alignment horizontal="center" vertical="center"/>
    </xf>
    <xf numFmtId="0" fontId="19" fillId="3" borderId="0" xfId="0" applyFont="1" applyFill="1" applyAlignment="1">
      <alignment vertical="center" readingOrder="1"/>
    </xf>
    <xf numFmtId="0" fontId="32" fillId="0" borderId="0" xfId="0" applyFont="1"/>
    <xf numFmtId="166" fontId="19" fillId="8" borderId="0" xfId="0" applyNumberFormat="1" applyFont="1" applyFill="1" applyAlignment="1">
      <alignment horizontal="left" vertical="center" wrapText="1"/>
    </xf>
    <xf numFmtId="1" fontId="19" fillId="8" borderId="0" xfId="0" applyNumberFormat="1" applyFont="1" applyFill="1" applyAlignment="1">
      <alignment horizontal="center" vertical="center" wrapText="1"/>
    </xf>
    <xf numFmtId="164" fontId="0" fillId="0" borderId="0" xfId="0" applyNumberFormat="1" applyAlignment="1">
      <alignment wrapText="1"/>
    </xf>
    <xf numFmtId="164" fontId="19" fillId="3" borderId="0" xfId="0" applyNumberFormat="1" applyFont="1" applyFill="1" applyAlignment="1">
      <alignment vertical="center"/>
    </xf>
    <xf numFmtId="164" fontId="21" fillId="0" borderId="4" xfId="2" applyNumberFormat="1" applyFont="1" applyFill="1" applyBorder="1" applyAlignment="1" applyProtection="1">
      <alignment vertical="center" wrapText="1" readingOrder="1"/>
    </xf>
    <xf numFmtId="164" fontId="21" fillId="0" borderId="0" xfId="2" applyNumberFormat="1" applyFont="1" applyFill="1" applyBorder="1" applyAlignment="1" applyProtection="1">
      <alignment vertical="center" wrapText="1" readingOrder="1"/>
    </xf>
    <xf numFmtId="164" fontId="30" fillId="0" borderId="4" xfId="2" applyNumberFormat="1" applyFont="1" applyFill="1" applyBorder="1" applyAlignment="1" applyProtection="1">
      <alignment vertical="center" wrapText="1" readingOrder="1"/>
    </xf>
    <xf numFmtId="164" fontId="19" fillId="3" borderId="0" xfId="0" applyNumberFormat="1" applyFont="1" applyFill="1" applyAlignment="1">
      <alignment vertical="center" wrapText="1" readingOrder="1"/>
    </xf>
    <xf numFmtId="0" fontId="0" fillId="4" borderId="0" xfId="0" applyFill="1" applyAlignment="1">
      <alignment wrapText="1"/>
    </xf>
    <xf numFmtId="0" fontId="6" fillId="4" borderId="0" xfId="0" applyFont="1" applyFill="1" applyAlignment="1">
      <alignment wrapText="1"/>
    </xf>
    <xf numFmtId="0" fontId="12" fillId="0" borderId="0" xfId="1" applyFont="1" applyFill="1" applyAlignment="1" applyProtection="1">
      <alignment horizontal="justify" vertical="center"/>
    </xf>
    <xf numFmtId="0" fontId="15" fillId="0" borderId="5" xfId="2" applyNumberFormat="1" applyFont="1" applyFill="1" applyBorder="1" applyAlignment="1" applyProtection="1">
      <alignment horizontal="center" vertical="center" wrapText="1" readingOrder="1"/>
    </xf>
    <xf numFmtId="0" fontId="15" fillId="0" borderId="0" xfId="2" applyNumberFormat="1" applyFont="1" applyFill="1" applyBorder="1" applyAlignment="1" applyProtection="1">
      <alignment horizontal="center" vertical="center" wrapText="1" readingOrder="1"/>
    </xf>
    <xf numFmtId="0" fontId="31" fillId="0" borderId="5" xfId="2" applyNumberFormat="1" applyFont="1" applyFill="1" applyBorder="1" applyAlignment="1" applyProtection="1">
      <alignment horizontal="center" vertical="center" wrapText="1" readingOrder="1"/>
    </xf>
    <xf numFmtId="0" fontId="20" fillId="0" borderId="0" xfId="0" applyFont="1" applyAlignment="1">
      <alignment horizontal="center" wrapText="1"/>
    </xf>
    <xf numFmtId="0" fontId="33" fillId="3" borderId="0" xfId="0" applyFont="1" applyFill="1" applyAlignment="1">
      <alignment horizontal="center" vertical="center" readingOrder="1"/>
    </xf>
    <xf numFmtId="0" fontId="20" fillId="3" borderId="0" xfId="0" applyFont="1" applyFill="1" applyAlignment="1">
      <alignment vertical="center"/>
    </xf>
    <xf numFmtId="164" fontId="20" fillId="3" borderId="0" xfId="0" applyNumberFormat="1" applyFont="1" applyFill="1" applyAlignment="1">
      <alignment vertical="center"/>
    </xf>
    <xf numFmtId="0" fontId="4" fillId="4" borderId="0" xfId="0" applyFont="1" applyFill="1" applyAlignment="1">
      <alignment wrapText="1"/>
    </xf>
    <xf numFmtId="0" fontId="4" fillId="5" borderId="0" xfId="0" applyFont="1" applyFill="1" applyAlignment="1">
      <alignment wrapText="1"/>
    </xf>
    <xf numFmtId="1" fontId="0" fillId="5" borderId="0" xfId="0" applyNumberFormat="1" applyFill="1" applyAlignment="1">
      <alignment horizontal="center"/>
    </xf>
    <xf numFmtId="0" fontId="0" fillId="5" borderId="0" xfId="0" applyFill="1" applyAlignment="1">
      <alignment horizontal="center"/>
    </xf>
    <xf numFmtId="1" fontId="0" fillId="4" borderId="0" xfId="0" applyNumberFormat="1" applyFill="1" applyAlignment="1">
      <alignment horizontal="center"/>
    </xf>
    <xf numFmtId="0" fontId="0" fillId="4" borderId="0" xfId="0" applyFill="1" applyAlignment="1">
      <alignment horizontal="center"/>
    </xf>
    <xf numFmtId="0" fontId="4" fillId="4" borderId="0" xfId="0" applyFont="1" applyFill="1"/>
    <xf numFmtId="2" fontId="0" fillId="4" borderId="0" xfId="0" applyNumberFormat="1" applyFill="1" applyAlignment="1">
      <alignment vertical="top"/>
    </xf>
    <xf numFmtId="0" fontId="0" fillId="4" borderId="0" xfId="0" applyFill="1" applyAlignment="1">
      <alignment horizontal="left" vertical="top" wrapText="1"/>
    </xf>
    <xf numFmtId="0" fontId="0" fillId="5" borderId="0" xfId="0" applyFill="1" applyAlignment="1">
      <alignment horizontal="left" vertical="top" wrapText="1"/>
    </xf>
    <xf numFmtId="0" fontId="4" fillId="5" borderId="0" xfId="0" applyFont="1" applyFill="1" applyAlignment="1">
      <alignment horizontal="center" vertical="top"/>
    </xf>
    <xf numFmtId="1" fontId="4" fillId="5" borderId="0" xfId="0" applyNumberFormat="1" applyFont="1" applyFill="1" applyAlignment="1">
      <alignment horizontal="center"/>
    </xf>
    <xf numFmtId="0" fontId="4" fillId="4" borderId="0" xfId="0" applyFont="1" applyFill="1" applyAlignment="1">
      <alignment horizontal="center" wrapText="1"/>
    </xf>
    <xf numFmtId="0" fontId="4" fillId="5" borderId="0" xfId="0" applyFont="1" applyFill="1" applyAlignment="1">
      <alignment horizontal="center" wrapText="1"/>
    </xf>
    <xf numFmtId="0" fontId="18" fillId="3" borderId="0" xfId="0" applyFont="1" applyFill="1" applyAlignment="1">
      <alignment vertical="center" wrapText="1" readingOrder="1"/>
    </xf>
    <xf numFmtId="165" fontId="18" fillId="3" borderId="0" xfId="2" applyFont="1" applyFill="1" applyBorder="1" applyAlignment="1" applyProtection="1">
      <alignment horizontal="center" vertical="center" wrapText="1" readingOrder="1"/>
    </xf>
    <xf numFmtId="165" fontId="18" fillId="0" borderId="0" xfId="2" applyFont="1" applyFill="1" applyBorder="1" applyAlignment="1" applyProtection="1">
      <alignment horizontal="center" vertical="center" wrapText="1" readingOrder="1"/>
    </xf>
    <xf numFmtId="0" fontId="18" fillId="7" borderId="0" xfId="0" applyFont="1" applyFill="1" applyAlignment="1">
      <alignment vertical="center" wrapText="1" readingOrder="1"/>
    </xf>
    <xf numFmtId="165" fontId="18" fillId="7" borderId="0" xfId="2" applyFont="1" applyFill="1" applyBorder="1" applyAlignment="1" applyProtection="1">
      <alignment horizontal="center" vertical="center" wrapText="1" readingOrder="1"/>
    </xf>
    <xf numFmtId="0" fontId="20" fillId="0" borderId="0" xfId="0" applyFont="1" applyAlignment="1">
      <alignment wrapText="1"/>
    </xf>
    <xf numFmtId="0" fontId="16" fillId="0" borderId="0" xfId="0" applyFont="1"/>
    <xf numFmtId="167" fontId="15" fillId="9" borderId="3" xfId="0" applyNumberFormat="1" applyFont="1" applyFill="1" applyBorder="1" applyAlignment="1" applyProtection="1">
      <alignment vertical="center"/>
      <protection locked="0"/>
    </xf>
    <xf numFmtId="164" fontId="15" fillId="9" borderId="4" xfId="0" applyNumberFormat="1" applyFont="1" applyFill="1" applyBorder="1" applyAlignment="1" applyProtection="1">
      <alignment vertical="center" wrapText="1"/>
      <protection locked="0"/>
    </xf>
    <xf numFmtId="0" fontId="15" fillId="9" borderId="4" xfId="0" applyFont="1" applyFill="1" applyBorder="1" applyAlignment="1" applyProtection="1">
      <alignment vertical="center" wrapText="1"/>
      <protection locked="0"/>
    </xf>
    <xf numFmtId="0" fontId="15" fillId="9" borderId="5" xfId="0" applyFont="1" applyFill="1" applyBorder="1" applyAlignment="1" applyProtection="1">
      <alignment vertical="center" wrapText="1"/>
      <protection locked="0"/>
    </xf>
    <xf numFmtId="167" fontId="15" fillId="9" borderId="3" xfId="0" applyNumberFormat="1" applyFont="1" applyFill="1" applyBorder="1" applyAlignment="1" applyProtection="1">
      <alignment vertical="center" wrapText="1"/>
      <protection locked="0"/>
    </xf>
    <xf numFmtId="0" fontId="0" fillId="9" borderId="4" xfId="0" applyFill="1" applyBorder="1" applyAlignment="1" applyProtection="1">
      <alignment vertical="center" wrapText="1"/>
      <protection locked="0"/>
    </xf>
    <xf numFmtId="0" fontId="0" fillId="9" borderId="5" xfId="0" applyFill="1" applyBorder="1" applyAlignment="1" applyProtection="1">
      <alignment vertical="center" wrapText="1"/>
      <protection locked="0"/>
    </xf>
    <xf numFmtId="0" fontId="15" fillId="9" borderId="4" xfId="0" applyFont="1" applyFill="1" applyBorder="1" applyAlignment="1" applyProtection="1">
      <alignment horizontal="left" vertical="center" wrapText="1"/>
      <protection locked="0"/>
    </xf>
    <xf numFmtId="164" fontId="15" fillId="9" borderId="4" xfId="0" applyNumberFormat="1" applyFont="1" applyFill="1" applyBorder="1" applyAlignment="1" applyProtection="1">
      <alignment horizontal="right" vertical="center" wrapText="1"/>
      <protection locked="0"/>
    </xf>
    <xf numFmtId="0" fontId="10" fillId="0" borderId="0" xfId="1" applyFill="1" applyAlignment="1">
      <alignment wrapText="1"/>
    </xf>
    <xf numFmtId="0" fontId="20" fillId="3" borderId="0" xfId="0" applyFont="1" applyFill="1" applyAlignment="1">
      <alignment horizontal="left" vertical="center" wrapText="1"/>
    </xf>
    <xf numFmtId="0" fontId="19" fillId="3" borderId="0" xfId="0" applyFont="1" applyFill="1" applyAlignment="1">
      <alignment horizontal="left" vertical="center" readingOrder="1"/>
    </xf>
    <xf numFmtId="166" fontId="19" fillId="3" borderId="0" xfId="0" applyNumberFormat="1" applyFont="1" applyFill="1" applyAlignment="1">
      <alignment horizontal="left" vertical="center" wrapText="1"/>
    </xf>
    <xf numFmtId="1" fontId="19" fillId="3" borderId="0" xfId="0" applyNumberFormat="1" applyFont="1" applyFill="1" applyAlignment="1">
      <alignment horizontal="center" vertical="center" wrapText="1"/>
    </xf>
    <xf numFmtId="166" fontId="33" fillId="3" borderId="0" xfId="0" applyNumberFormat="1" applyFont="1" applyFill="1" applyAlignment="1">
      <alignment horizontal="center" vertical="center" wrapText="1"/>
    </xf>
    <xf numFmtId="167" fontId="15" fillId="10" borderId="3" xfId="0" applyNumberFormat="1" applyFont="1" applyFill="1" applyBorder="1" applyAlignment="1" applyProtection="1">
      <alignment vertical="center"/>
      <protection locked="0"/>
    </xf>
    <xf numFmtId="164" fontId="15" fillId="10" borderId="4" xfId="0" applyNumberFormat="1" applyFont="1" applyFill="1" applyBorder="1" applyAlignment="1" applyProtection="1">
      <alignment vertical="center" wrapText="1"/>
      <protection locked="0"/>
    </xf>
    <xf numFmtId="0" fontId="15" fillId="10" borderId="4" xfId="0" applyFont="1" applyFill="1" applyBorder="1" applyAlignment="1" applyProtection="1">
      <alignment vertical="center" wrapText="1"/>
      <protection locked="0"/>
    </xf>
    <xf numFmtId="0" fontId="15" fillId="10" borderId="5" xfId="0" applyFont="1" applyFill="1" applyBorder="1" applyAlignment="1" applyProtection="1">
      <alignment vertical="center" wrapText="1"/>
      <protection locked="0"/>
    </xf>
    <xf numFmtId="167" fontId="15" fillId="10" borderId="3" xfId="0" applyNumberFormat="1" applyFont="1" applyFill="1" applyBorder="1" applyAlignment="1" applyProtection="1">
      <alignment vertical="center" wrapText="1"/>
      <protection locked="0"/>
    </xf>
    <xf numFmtId="0" fontId="0" fillId="10" borderId="4" xfId="0" applyFill="1" applyBorder="1" applyAlignment="1" applyProtection="1">
      <alignment vertical="center" wrapText="1"/>
      <protection locked="0"/>
    </xf>
    <xf numFmtId="0" fontId="0" fillId="10" borderId="5" xfId="0" applyFill="1" applyBorder="1" applyAlignment="1" applyProtection="1">
      <alignment vertical="center" wrapText="1"/>
      <protection locked="0"/>
    </xf>
    <xf numFmtId="0" fontId="0" fillId="10" borderId="4" xfId="0" applyFill="1" applyBorder="1" applyAlignment="1" applyProtection="1">
      <alignment horizontal="left" vertical="center" wrapText="1"/>
      <protection locked="0"/>
    </xf>
    <xf numFmtId="0" fontId="15" fillId="10" borderId="4" xfId="0" applyFont="1" applyFill="1" applyBorder="1" applyAlignment="1" applyProtection="1">
      <alignment horizontal="left" vertical="center" wrapText="1"/>
      <protection locked="0"/>
    </xf>
    <xf numFmtId="164" fontId="15" fillId="10" borderId="4" xfId="0" applyNumberFormat="1" applyFont="1" applyFill="1" applyBorder="1" applyAlignment="1" applyProtection="1">
      <alignment horizontal="right" vertical="center" wrapText="1"/>
      <protection locked="0"/>
    </xf>
    <xf numFmtId="0" fontId="0" fillId="10" borderId="5" xfId="0" applyFill="1" applyBorder="1" applyAlignment="1" applyProtection="1">
      <alignment horizontal="left" vertical="center" wrapText="1"/>
      <protection locked="0"/>
    </xf>
    <xf numFmtId="0" fontId="33" fillId="3" borderId="0" xfId="0" applyFont="1" applyFill="1" applyAlignment="1">
      <alignment horizontal="center" vertical="center" wrapText="1"/>
    </xf>
    <xf numFmtId="0" fontId="36" fillId="10" borderId="7" xfId="0" applyFont="1" applyFill="1" applyBorder="1" applyAlignment="1">
      <alignment horizontal="center" vertical="center" wrapText="1"/>
    </xf>
    <xf numFmtId="0" fontId="12" fillId="11" borderId="0" xfId="1" applyFont="1" applyFill="1" applyAlignment="1" applyProtection="1">
      <alignment horizontal="justify" vertical="center"/>
    </xf>
    <xf numFmtId="0" fontId="39" fillId="0" borderId="0" xfId="0" applyFont="1" applyAlignment="1">
      <alignment wrapText="1"/>
    </xf>
    <xf numFmtId="167" fontId="15" fillId="10" borderId="3" xfId="0" applyNumberFormat="1" applyFont="1" applyFill="1" applyBorder="1" applyAlignment="1" applyProtection="1">
      <alignment horizontal="left" vertical="center"/>
      <protection locked="0"/>
    </xf>
    <xf numFmtId="0" fontId="0" fillId="10" borderId="0" xfId="0" applyFill="1" applyProtection="1">
      <protection locked="0"/>
    </xf>
    <xf numFmtId="167" fontId="15" fillId="10" borderId="3" xfId="0" applyNumberFormat="1" applyFont="1" applyFill="1" applyBorder="1" applyAlignment="1" applyProtection="1">
      <alignment horizontal="right" vertical="center"/>
      <protection locked="0"/>
    </xf>
    <xf numFmtId="0" fontId="0" fillId="12" borderId="0" xfId="0" applyFill="1" applyProtection="1">
      <protection locked="0"/>
    </xf>
    <xf numFmtId="0" fontId="15" fillId="10" borderId="0" xfId="0" applyFont="1" applyFill="1" applyProtection="1">
      <protection locked="0"/>
    </xf>
    <xf numFmtId="0" fontId="40" fillId="0" borderId="0" xfId="0" applyFont="1" applyAlignment="1" applyProtection="1">
      <alignment wrapText="1"/>
      <protection locked="0"/>
    </xf>
    <xf numFmtId="0" fontId="15" fillId="10" borderId="0" xfId="0" applyFont="1" applyFill="1" applyAlignment="1" applyProtection="1">
      <alignment vertical="center" wrapText="1"/>
      <protection locked="0"/>
    </xf>
    <xf numFmtId="16" fontId="0" fillId="10" borderId="0" xfId="0" applyNumberFormat="1" applyFill="1" applyProtection="1">
      <protection locked="0"/>
    </xf>
    <xf numFmtId="164" fontId="15" fillId="0" borderId="4" xfId="0" applyNumberFormat="1" applyFont="1" applyBorder="1" applyAlignment="1" applyProtection="1">
      <alignment vertical="center" wrapText="1"/>
      <protection locked="0"/>
    </xf>
    <xf numFmtId="0" fontId="15" fillId="0" borderId="0" xfId="0" applyFont="1" applyAlignment="1" applyProtection="1">
      <alignment wrapText="1"/>
      <protection locked="0"/>
    </xf>
    <xf numFmtId="0" fontId="39" fillId="0" borderId="0" xfId="0" applyFont="1" applyAlignment="1" applyProtection="1">
      <alignment wrapText="1"/>
      <protection locked="0"/>
    </xf>
    <xf numFmtId="0" fontId="41" fillId="0" borderId="0" xfId="0" applyFont="1" applyAlignment="1" applyProtection="1">
      <alignment wrapText="1"/>
      <protection locked="0"/>
    </xf>
    <xf numFmtId="164" fontId="41" fillId="0" borderId="4" xfId="0" applyNumberFormat="1" applyFont="1" applyBorder="1" applyAlignment="1" applyProtection="1">
      <alignment vertical="center" wrapText="1"/>
      <protection locked="0"/>
    </xf>
    <xf numFmtId="164" fontId="21" fillId="0" borderId="4" xfId="0" applyNumberFormat="1" applyFont="1" applyBorder="1" applyAlignment="1" applyProtection="1">
      <alignment vertical="center" wrapText="1"/>
      <protection locked="0"/>
    </xf>
    <xf numFmtId="0" fontId="15" fillId="0" borderId="0" xfId="0" applyFont="1" applyProtection="1">
      <protection locked="0"/>
    </xf>
    <xf numFmtId="164" fontId="39" fillId="0" borderId="4" xfId="0" applyNumberFormat="1" applyFont="1" applyBorder="1" applyAlignment="1" applyProtection="1">
      <alignment vertical="center" wrapText="1"/>
      <protection locked="0"/>
    </xf>
    <xf numFmtId="164" fontId="15" fillId="0" borderId="0" xfId="0" applyNumberFormat="1" applyFont="1" applyAlignment="1" applyProtection="1">
      <alignment vertical="center" wrapText="1"/>
      <protection locked="0"/>
    </xf>
    <xf numFmtId="0" fontId="4" fillId="0" borderId="0" xfId="0" applyFont="1" applyAlignment="1" applyProtection="1">
      <alignment wrapText="1"/>
      <protection locked="0"/>
    </xf>
    <xf numFmtId="0" fontId="0" fillId="10" borderId="0" xfId="0" applyFill="1" applyAlignment="1" applyProtection="1">
      <alignment vertical="center" wrapText="1"/>
      <protection locked="0"/>
    </xf>
    <xf numFmtId="164" fontId="15" fillId="10" borderId="8" xfId="0" applyNumberFormat="1" applyFont="1" applyFill="1" applyBorder="1" applyAlignment="1" applyProtection="1">
      <alignment vertical="center" wrapText="1"/>
      <protection locked="0"/>
    </xf>
    <xf numFmtId="0" fontId="4" fillId="0" borderId="0" xfId="0" applyFont="1" applyProtection="1">
      <protection locked="0"/>
    </xf>
    <xf numFmtId="0" fontId="15" fillId="0" borderId="0" xfId="0" applyFont="1" applyAlignment="1">
      <alignment horizontal="center" vertical="center" wrapText="1" readingOrder="1"/>
    </xf>
    <xf numFmtId="0" fontId="14" fillId="10" borderId="2" xfId="0" applyFont="1" applyFill="1" applyBorder="1" applyAlignment="1" applyProtection="1">
      <alignment horizontal="left" vertical="center" wrapText="1" readingOrder="1"/>
      <protection locked="0"/>
    </xf>
    <xf numFmtId="0" fontId="13" fillId="0" borderId="6" xfId="0" applyFont="1" applyBorder="1" applyAlignment="1">
      <alignment horizontal="left" vertical="center"/>
    </xf>
    <xf numFmtId="0" fontId="37" fillId="2" borderId="0" xfId="0" applyFont="1" applyFill="1" applyAlignment="1">
      <alignment horizontal="center" vertical="center"/>
    </xf>
    <xf numFmtId="0" fontId="34" fillId="10" borderId="2" xfId="0" applyFont="1" applyFill="1" applyBorder="1" applyAlignment="1" applyProtection="1">
      <alignment horizontal="left" vertical="center" wrapText="1" readingOrder="1"/>
      <protection locked="0"/>
    </xf>
    <xf numFmtId="167" fontId="34" fillId="10" borderId="2" xfId="0" applyNumberFormat="1" applyFont="1" applyFill="1" applyBorder="1" applyAlignment="1" applyProtection="1">
      <alignment horizontal="left" vertical="center" wrapText="1" readingOrder="1"/>
      <protection locked="0"/>
    </xf>
    <xf numFmtId="167" fontId="13" fillId="0" borderId="2" xfId="0" applyNumberFormat="1" applyFont="1" applyBorder="1" applyAlignment="1">
      <alignment horizontal="left" vertical="center" wrapText="1" readingOrder="1"/>
    </xf>
    <xf numFmtId="0" fontId="33" fillId="3" borderId="0" xfId="0" applyFont="1" applyFill="1" applyAlignment="1">
      <alignment horizontal="center" vertical="center" wrapText="1"/>
    </xf>
    <xf numFmtId="0" fontId="22" fillId="2" borderId="0" xfId="0" applyFont="1" applyFill="1" applyAlignment="1">
      <alignment horizontal="center" vertical="center"/>
    </xf>
    <xf numFmtId="0" fontId="18" fillId="3" borderId="0" xfId="0" applyFont="1" applyFill="1" applyAlignment="1">
      <alignment horizontal="center" vertical="center" wrapText="1" readingOrder="1"/>
    </xf>
    <xf numFmtId="0" fontId="3" fillId="0" borderId="1" xfId="0" applyFont="1" applyBorder="1" applyAlignment="1">
      <alignment horizontal="center" vertical="center" wrapText="1" readingOrder="1"/>
    </xf>
    <xf numFmtId="0" fontId="3" fillId="0" borderId="0" xfId="0" applyFont="1" applyAlignment="1">
      <alignment horizontal="center" vertical="center" wrapText="1" readingOrder="1"/>
    </xf>
    <xf numFmtId="0" fontId="5" fillId="0" borderId="1" xfId="0" applyFont="1" applyBorder="1" applyAlignment="1">
      <alignment horizontal="center" vertical="center" wrapText="1" readingOrder="1"/>
    </xf>
    <xf numFmtId="0" fontId="5" fillId="0" borderId="0" xfId="0" applyFont="1" applyAlignment="1">
      <alignment horizontal="center" vertical="center" wrapText="1" readingOrder="1"/>
    </xf>
    <xf numFmtId="0" fontId="20" fillId="3" borderId="0" xfId="0" applyFont="1" applyFill="1" applyAlignment="1">
      <alignment horizontal="center" vertical="center" wrapText="1" readingOrder="1"/>
    </xf>
    <xf numFmtId="0" fontId="5" fillId="0" borderId="0" xfId="0" applyFont="1" applyAlignment="1">
      <alignment horizontal="center" vertical="center" wrapText="1"/>
    </xf>
    <xf numFmtId="0" fontId="6" fillId="0" borderId="0" xfId="0" applyFont="1" applyAlignment="1">
      <alignment horizontal="center" vertical="center" wrapText="1"/>
    </xf>
    <xf numFmtId="0" fontId="3" fillId="0" borderId="0" xfId="0" applyFont="1" applyAlignment="1">
      <alignment horizontal="center" vertical="center" wrapText="1"/>
    </xf>
    <xf numFmtId="0" fontId="13" fillId="0" borderId="0" xfId="0" applyFont="1" applyAlignment="1">
      <alignment horizontal="center" vertical="center" wrapText="1"/>
    </xf>
    <xf numFmtId="0" fontId="8" fillId="0" borderId="0" xfId="0" applyFont="1" applyAlignment="1">
      <alignment horizontal="center" vertical="center" wrapText="1"/>
    </xf>
    <xf numFmtId="0" fontId="8" fillId="0" borderId="0" xfId="0" applyFont="1" applyAlignment="1">
      <alignment horizontal="center" vertical="center"/>
    </xf>
  </cellXfs>
  <cellStyles count="3">
    <cellStyle name="Currency" xfId="2" builtinId="4"/>
    <cellStyle name="Hyperlink" xfId="1" builtinId="8"/>
    <cellStyle name="Normal" xfId="0" builtinId="0"/>
  </cellStyles>
  <dxfs count="2">
    <dxf>
      <font>
        <color theme="1" tint="0.499984740745262"/>
      </font>
      <fill>
        <patternFill>
          <bgColor rgb="FFCCFFCC"/>
        </patternFill>
      </fill>
    </dxf>
    <dxf>
      <font>
        <color theme="1" tint="0.499984740745262"/>
      </font>
      <fill>
        <patternFill>
          <bgColor rgb="FFCCFFCC"/>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CCFFCC"/>
      <color rgb="FF99FF99"/>
      <color rgb="FFCCFF66"/>
      <color rgb="FFFF9900"/>
      <color rgb="FF00FF00"/>
      <color rgb="FF006600"/>
      <color rgb="FF008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mailto:info@data.govt.nz" TargetMode="External"/><Relationship Id="rId7" Type="http://schemas.openxmlformats.org/officeDocument/2006/relationships/printerSettings" Target="../printerSettings/printerSettings1.bin"/><Relationship Id="rId2" Type="http://schemas.openxmlformats.org/officeDocument/2006/relationships/hyperlink" Target="https://www.publicservice.govt.nz/resources/ce-expenses-disclosure/" TargetMode="External"/><Relationship Id="rId1" Type="http://schemas.openxmlformats.org/officeDocument/2006/relationships/hyperlink" Target="https://www.data.govt.nz/toolkit/how-do-i-add-or-update-our-chief-executive-expenses/" TargetMode="External"/><Relationship Id="rId6" Type="http://schemas.openxmlformats.org/officeDocument/2006/relationships/hyperlink" Target="https://www.publicservice.govt.nz/assets/Legacy/resources/Chief-Executive-Expense-Disclosure-Guide.pdf" TargetMode="External"/><Relationship Id="rId5" Type="http://schemas.openxmlformats.org/officeDocument/2006/relationships/hyperlink" Target="https://www.data.govt.nz/toolkit/how-do-i-add-or-update-our-chief-executive-expenses/" TargetMode="External"/><Relationship Id="rId4" Type="http://schemas.openxmlformats.org/officeDocument/2006/relationships/hyperlink" Target="https://www.publicservice.govt.nz/resources/ce-expenses-disclosure/" TargetMode="External"/><Relationship Id="rId9"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B62"/>
  <sheetViews>
    <sheetView topLeftCell="A8" zoomScaleNormal="100" workbookViewId="0">
      <selection activeCell="A37" sqref="A37"/>
    </sheetView>
  </sheetViews>
  <sheetFormatPr defaultColWidth="0" defaultRowHeight="14.25" zeroHeight="1" x14ac:dyDescent="0.2"/>
  <cols>
    <col min="1" max="1" width="219.28515625" style="41" customWidth="1"/>
    <col min="2" max="2" width="33.28515625" style="40" customWidth="1"/>
    <col min="3" max="16384" width="8.7109375" hidden="1"/>
  </cols>
  <sheetData>
    <row r="1" spans="1:2" ht="23.25" customHeight="1" x14ac:dyDescent="0.2">
      <c r="A1" s="39" t="s">
        <v>0</v>
      </c>
    </row>
    <row r="2" spans="1:2" ht="33" customHeight="1" x14ac:dyDescent="0.2">
      <c r="A2" s="103" t="s">
        <v>1</v>
      </c>
    </row>
    <row r="3" spans="1:2" ht="17.25" customHeight="1" x14ac:dyDescent="0.2"/>
    <row r="4" spans="1:2" ht="23.25" customHeight="1" x14ac:dyDescent="0.2">
      <c r="A4" s="121" t="s">
        <v>2</v>
      </c>
    </row>
    <row r="5" spans="1:2" ht="17.25" customHeight="1" x14ac:dyDescent="0.2"/>
    <row r="6" spans="1:2" ht="23.25" customHeight="1" x14ac:dyDescent="0.2">
      <c r="A6" s="42" t="s">
        <v>3</v>
      </c>
    </row>
    <row r="7" spans="1:2" ht="17.25" customHeight="1" x14ac:dyDescent="0.2">
      <c r="A7" s="43" t="s">
        <v>4</v>
      </c>
    </row>
    <row r="8" spans="1:2" ht="17.25" customHeight="1" x14ac:dyDescent="0.2">
      <c r="A8" s="43" t="s">
        <v>5</v>
      </c>
    </row>
    <row r="9" spans="1:2" ht="17.25" customHeight="1" x14ac:dyDescent="0.2">
      <c r="A9" s="43"/>
    </row>
    <row r="10" spans="1:2" ht="23.25" customHeight="1" x14ac:dyDescent="0.2">
      <c r="A10" s="42" t="s">
        <v>6</v>
      </c>
      <c r="B10" s="69" t="s">
        <v>7</v>
      </c>
    </row>
    <row r="11" spans="1:2" ht="17.25" customHeight="1" x14ac:dyDescent="0.2">
      <c r="A11" s="44" t="s">
        <v>8</v>
      </c>
    </row>
    <row r="12" spans="1:2" ht="17.25" customHeight="1" x14ac:dyDescent="0.2">
      <c r="A12" s="43" t="s">
        <v>9</v>
      </c>
    </row>
    <row r="13" spans="1:2" ht="17.25" customHeight="1" x14ac:dyDescent="0.2">
      <c r="A13" s="43" t="s">
        <v>10</v>
      </c>
    </row>
    <row r="14" spans="1:2" ht="17.25" customHeight="1" x14ac:dyDescent="0.2">
      <c r="A14" s="45" t="s">
        <v>11</v>
      </c>
    </row>
    <row r="15" spans="1:2" ht="17.25" customHeight="1" x14ac:dyDescent="0.2">
      <c r="A15" s="43" t="s">
        <v>12</v>
      </c>
    </row>
    <row r="16" spans="1:2" ht="17.25" customHeight="1" x14ac:dyDescent="0.2">
      <c r="A16" s="43"/>
    </row>
    <row r="17" spans="1:1" ht="23.25" customHeight="1" x14ac:dyDescent="0.2">
      <c r="A17" s="42" t="s">
        <v>13</v>
      </c>
    </row>
    <row r="18" spans="1:1" ht="17.25" customHeight="1" x14ac:dyDescent="0.2">
      <c r="A18" s="45" t="s">
        <v>14</v>
      </c>
    </row>
    <row r="19" spans="1:1" ht="17.25" customHeight="1" x14ac:dyDescent="0.2">
      <c r="A19" s="45" t="s">
        <v>15</v>
      </c>
    </row>
    <row r="20" spans="1:1" ht="17.25" customHeight="1" x14ac:dyDescent="0.2">
      <c r="A20" s="65" t="s">
        <v>16</v>
      </c>
    </row>
    <row r="21" spans="1:1" ht="17.25" customHeight="1" x14ac:dyDescent="0.2">
      <c r="A21" s="46"/>
    </row>
    <row r="22" spans="1:1" ht="23.25" customHeight="1" x14ac:dyDescent="0.2">
      <c r="A22" s="42" t="s">
        <v>17</v>
      </c>
    </row>
    <row r="23" spans="1:1" ht="17.25" customHeight="1" x14ac:dyDescent="0.2">
      <c r="A23" s="46" t="s">
        <v>18</v>
      </c>
    </row>
    <row r="24" spans="1:1" ht="17.25" customHeight="1" x14ac:dyDescent="0.2">
      <c r="A24" s="46"/>
    </row>
    <row r="25" spans="1:1" ht="23.25" customHeight="1" x14ac:dyDescent="0.2">
      <c r="A25" s="42" t="s">
        <v>19</v>
      </c>
    </row>
    <row r="26" spans="1:1" ht="17.25" customHeight="1" x14ac:dyDescent="0.2">
      <c r="A26" s="47" t="s">
        <v>20</v>
      </c>
    </row>
    <row r="27" spans="1:1" ht="32.25" customHeight="1" x14ac:dyDescent="0.2">
      <c r="A27" s="45" t="s">
        <v>21</v>
      </c>
    </row>
    <row r="28" spans="1:1" ht="17.25" customHeight="1" x14ac:dyDescent="0.2">
      <c r="A28" s="47" t="s">
        <v>22</v>
      </c>
    </row>
    <row r="29" spans="1:1" ht="32.25" customHeight="1" x14ac:dyDescent="0.2">
      <c r="A29" s="45" t="s">
        <v>23</v>
      </c>
    </row>
    <row r="30" spans="1:1" ht="17.25" customHeight="1" x14ac:dyDescent="0.2">
      <c r="A30" s="47" t="s">
        <v>24</v>
      </c>
    </row>
    <row r="31" spans="1:1" ht="17.25" customHeight="1" x14ac:dyDescent="0.2">
      <c r="A31" s="45" t="s">
        <v>25</v>
      </c>
    </row>
    <row r="32" spans="1:1" ht="17.25" customHeight="1" x14ac:dyDescent="0.2">
      <c r="A32" s="47" t="s">
        <v>26</v>
      </c>
    </row>
    <row r="33" spans="1:1" ht="32.25" customHeight="1" x14ac:dyDescent="0.2">
      <c r="A33" s="45" t="s">
        <v>27</v>
      </c>
    </row>
    <row r="34" spans="1:1" ht="32.25" customHeight="1" x14ac:dyDescent="0.2">
      <c r="A34" s="44" t="s">
        <v>28</v>
      </c>
    </row>
    <row r="35" spans="1:1" ht="17.25" customHeight="1" x14ac:dyDescent="0.2">
      <c r="A35" s="47" t="s">
        <v>29</v>
      </c>
    </row>
    <row r="36" spans="1:1" ht="32.25" customHeight="1" x14ac:dyDescent="0.2">
      <c r="A36" s="45" t="s">
        <v>30</v>
      </c>
    </row>
    <row r="37" spans="1:1" ht="32.25" customHeight="1" x14ac:dyDescent="0.2">
      <c r="A37" s="45" t="s">
        <v>31</v>
      </c>
    </row>
    <row r="38" spans="1:1" ht="32.25" customHeight="1" x14ac:dyDescent="0.2">
      <c r="A38" s="45" t="s">
        <v>32</v>
      </c>
    </row>
    <row r="39" spans="1:1" ht="17.25" customHeight="1" x14ac:dyDescent="0.2">
      <c r="A39" s="44"/>
    </row>
    <row r="40" spans="1:1" ht="22.5" customHeight="1" x14ac:dyDescent="0.2">
      <c r="A40" s="42" t="s">
        <v>33</v>
      </c>
    </row>
    <row r="41" spans="1:1" ht="17.25" customHeight="1" x14ac:dyDescent="0.2">
      <c r="A41" s="51" t="s">
        <v>34</v>
      </c>
    </row>
    <row r="42" spans="1:1" ht="17.25" customHeight="1" x14ac:dyDescent="0.2">
      <c r="A42" s="48" t="s">
        <v>35</v>
      </c>
    </row>
    <row r="43" spans="1:1" ht="17.25" customHeight="1" x14ac:dyDescent="0.2">
      <c r="A43" s="46" t="s">
        <v>36</v>
      </c>
    </row>
    <row r="44" spans="1:1" ht="32.25" customHeight="1" x14ac:dyDescent="0.2">
      <c r="A44" s="46" t="s">
        <v>37</v>
      </c>
    </row>
    <row r="45" spans="1:1" ht="32.25" customHeight="1" x14ac:dyDescent="0.2">
      <c r="A45" s="46" t="s">
        <v>38</v>
      </c>
    </row>
    <row r="46" spans="1:1" ht="17.25" customHeight="1" x14ac:dyDescent="0.2">
      <c r="A46" s="49" t="s">
        <v>39</v>
      </c>
    </row>
    <row r="47" spans="1:1" ht="32.25" customHeight="1" x14ac:dyDescent="0.2">
      <c r="A47" s="45" t="s">
        <v>40</v>
      </c>
    </row>
    <row r="48" spans="1:1" ht="32.25" customHeight="1" x14ac:dyDescent="0.2">
      <c r="A48" s="45" t="s">
        <v>41</v>
      </c>
    </row>
    <row r="49" spans="1:1" ht="32.25" customHeight="1" x14ac:dyDescent="0.2">
      <c r="A49" s="46" t="s">
        <v>42</v>
      </c>
    </row>
    <row r="50" spans="1:1" ht="17.25" customHeight="1" x14ac:dyDescent="0.2">
      <c r="A50" s="46" t="s">
        <v>43</v>
      </c>
    </row>
    <row r="51" spans="1:1" x14ac:dyDescent="0.2">
      <c r="A51" s="46" t="s">
        <v>44</v>
      </c>
    </row>
    <row r="52" spans="1:1" ht="17.25" customHeight="1" x14ac:dyDescent="0.2">
      <c r="A52" s="46"/>
    </row>
    <row r="53" spans="1:1" ht="22.5" customHeight="1" x14ac:dyDescent="0.2">
      <c r="A53" s="42" t="s">
        <v>45</v>
      </c>
    </row>
    <row r="54" spans="1:1" ht="32.25" customHeight="1" x14ac:dyDescent="0.2">
      <c r="A54" s="123" t="s">
        <v>46</v>
      </c>
    </row>
    <row r="55" spans="1:1" ht="17.25" customHeight="1" x14ac:dyDescent="0.2">
      <c r="A55" s="50" t="s">
        <v>47</v>
      </c>
    </row>
    <row r="56" spans="1:1" ht="17.25" customHeight="1" x14ac:dyDescent="0.2">
      <c r="A56" s="51" t="s">
        <v>48</v>
      </c>
    </row>
    <row r="57" spans="1:1" ht="17.25" customHeight="1" x14ac:dyDescent="0.2">
      <c r="A57" s="65" t="s">
        <v>49</v>
      </c>
    </row>
    <row r="58" spans="1:1" ht="17.25" customHeight="1" x14ac:dyDescent="0.2">
      <c r="A58" s="122" t="s">
        <v>50</v>
      </c>
    </row>
    <row r="59" spans="1:1" x14ac:dyDescent="0.2"/>
    <row r="61" spans="1:1" hidden="1" x14ac:dyDescent="0.2">
      <c r="A61" s="52"/>
    </row>
    <row r="62" spans="1:1" x14ac:dyDescent="0.2"/>
  </sheetData>
  <hyperlinks>
    <hyperlink ref="A20" r:id="rId1" xr:uid="{00000000-0004-0000-0000-000000000000}"/>
    <hyperlink ref="A41" r:id="rId2" xr:uid="{00000000-0004-0000-0000-000001000000}"/>
    <hyperlink ref="A56" r:id="rId3" display="mailto:info@data.govt.nz" xr:uid="{00000000-0004-0000-0000-000003000000}"/>
    <hyperlink ref="A58" r:id="rId4" xr:uid="{00000000-0004-0000-0000-000004000000}"/>
    <hyperlink ref="A57" r:id="rId5" display="They are posted on agency websites and linked to www.data.govt.nz. See: https://www.data.govt.nz/toolkit/how-do-i-add-or-update-our-chief-executive-expenses/" xr:uid="{00000000-0004-0000-0000-000007000000}"/>
    <hyperlink ref="A2" r:id="rId6" display="https://www.publicservice.govt.nz/assets/Legacy/resources/Chief-Executive-Expense-Disclosure-Guide.pdf" xr:uid="{5BCCB646-AAC4-46B9-B1FF-55A40DD85E73}"/>
  </hyperlinks>
  <pageMargins left="0.70866141732283472" right="0.70866141732283472" top="0.74803149606299213" bottom="0.74803149606299213" header="0.31496062992125984" footer="0.31496062992125984"/>
  <pageSetup paperSize="8" orientation="landscape" r:id="rId7"/>
  <headerFooter>
    <oddFooter>&amp;LCE Expense Disclosure Workbook 2018&amp;RWorksheet - Guidance</oddFooter>
  </headerFooter>
  <legacyDrawing r:id="rId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3" tint="0.39997558519241921"/>
    <pageSetUpPr fitToPage="1"/>
  </sheetPr>
  <dimension ref="A1:K61"/>
  <sheetViews>
    <sheetView tabSelected="1" zoomScaleNormal="100" workbookViewId="0">
      <selection activeCell="B7" sqref="B7:F7"/>
    </sheetView>
  </sheetViews>
  <sheetFormatPr defaultColWidth="0" defaultRowHeight="12.75" zeroHeight="1" x14ac:dyDescent="0.2"/>
  <cols>
    <col min="1" max="1" width="35.7109375" customWidth="1"/>
    <col min="2" max="2" width="21.5703125" customWidth="1"/>
    <col min="3" max="3" width="33.5703125" customWidth="1"/>
    <col min="4" max="4" width="4.42578125" customWidth="1"/>
    <col min="5" max="5" width="29" customWidth="1"/>
    <col min="6" max="6" width="19" customWidth="1"/>
    <col min="7" max="7" width="42" customWidth="1"/>
    <col min="8" max="11" width="9.140625" hidden="1" customWidth="1"/>
    <col min="12" max="16384" width="9.140625" hidden="1"/>
  </cols>
  <sheetData>
    <row r="1" spans="1:11" ht="26.25" customHeight="1" x14ac:dyDescent="0.2">
      <c r="A1" s="148" t="s">
        <v>51</v>
      </c>
      <c r="B1" s="148"/>
      <c r="C1" s="148"/>
      <c r="D1" s="148"/>
      <c r="E1" s="148"/>
      <c r="F1" s="148"/>
      <c r="G1" s="17"/>
      <c r="H1" s="17"/>
      <c r="I1" s="17"/>
      <c r="J1" s="17"/>
      <c r="K1" s="17"/>
    </row>
    <row r="2" spans="1:11" ht="21" customHeight="1" x14ac:dyDescent="0.2">
      <c r="A2" s="3" t="s">
        <v>52</v>
      </c>
      <c r="B2" s="149" t="s">
        <v>53</v>
      </c>
      <c r="C2" s="149"/>
      <c r="D2" s="149"/>
      <c r="E2" s="149"/>
      <c r="F2" s="149"/>
      <c r="G2" s="17"/>
      <c r="H2" s="17"/>
      <c r="I2" s="17"/>
      <c r="J2" s="17"/>
      <c r="K2" s="17"/>
    </row>
    <row r="3" spans="1:11" ht="15.75" x14ac:dyDescent="0.2">
      <c r="A3" s="3" t="s">
        <v>54</v>
      </c>
      <c r="B3" s="149" t="s">
        <v>55</v>
      </c>
      <c r="C3" s="149"/>
      <c r="D3" s="149"/>
      <c r="E3" s="149"/>
      <c r="F3" s="149"/>
      <c r="G3" s="17"/>
      <c r="H3" s="17"/>
      <c r="I3" s="17"/>
      <c r="J3" s="17"/>
      <c r="K3" s="17"/>
    </row>
    <row r="4" spans="1:11" ht="21" customHeight="1" x14ac:dyDescent="0.2">
      <c r="A4" s="3" t="s">
        <v>56</v>
      </c>
      <c r="B4" s="150">
        <v>45839</v>
      </c>
      <c r="C4" s="150"/>
      <c r="D4" s="150"/>
      <c r="E4" s="150"/>
      <c r="F4" s="150"/>
      <c r="G4" s="17"/>
      <c r="H4" s="17"/>
      <c r="I4" s="17"/>
      <c r="J4" s="17"/>
      <c r="K4" s="17"/>
    </row>
    <row r="5" spans="1:11" ht="21" customHeight="1" x14ac:dyDescent="0.2">
      <c r="A5" s="3" t="s">
        <v>57</v>
      </c>
      <c r="B5" s="150">
        <v>46203</v>
      </c>
      <c r="C5" s="150"/>
      <c r="D5" s="150"/>
      <c r="E5" s="150"/>
      <c r="F5" s="150"/>
      <c r="G5" s="17"/>
      <c r="H5" s="17"/>
      <c r="I5" s="17"/>
      <c r="J5" s="17"/>
      <c r="K5" s="17"/>
    </row>
    <row r="6" spans="1:11" ht="21" customHeight="1" x14ac:dyDescent="0.2">
      <c r="A6" s="3" t="s">
        <v>58</v>
      </c>
      <c r="B6" s="147" t="str">
        <f>IF(AND(Travel!B7&lt;&gt;A30,Hospitality!B7&lt;&gt;A30,'All other expenses'!B7&lt;&gt;A30,'Gifts and benefits'!B7&lt;&gt;A30),A31,IF(AND(Travel!B7=A30,Hospitality!B7=A30,'All other expenses'!B7=A30,'Gifts and benefits'!B7=A30),A33,A32))</f>
        <v>Data and totals checked on all sheets</v>
      </c>
      <c r="C6" s="147"/>
      <c r="D6" s="147"/>
      <c r="E6" s="147"/>
      <c r="F6" s="147"/>
      <c r="G6" s="23"/>
      <c r="H6" s="17"/>
      <c r="I6" s="17"/>
      <c r="J6" s="17"/>
      <c r="K6" s="17"/>
    </row>
    <row r="7" spans="1:11" ht="31.5" x14ac:dyDescent="0.2">
      <c r="A7" s="3" t="s">
        <v>59</v>
      </c>
      <c r="B7" s="146" t="s">
        <v>92</v>
      </c>
      <c r="C7" s="146"/>
      <c r="D7" s="146"/>
      <c r="E7" s="146"/>
      <c r="F7" s="146"/>
      <c r="G7" s="23"/>
      <c r="H7" s="17"/>
      <c r="I7" s="17"/>
      <c r="J7" s="17"/>
      <c r="K7" s="17"/>
    </row>
    <row r="8" spans="1:11" ht="25.5" customHeight="1" x14ac:dyDescent="0.2">
      <c r="A8" s="3" t="s">
        <v>61</v>
      </c>
      <c r="B8" s="146" t="s">
        <v>449</v>
      </c>
      <c r="C8" s="146"/>
      <c r="D8" s="146"/>
      <c r="E8" s="146"/>
      <c r="F8" s="146"/>
      <c r="G8" s="23"/>
      <c r="H8" s="17"/>
      <c r="I8" s="17"/>
      <c r="J8" s="17"/>
      <c r="K8" s="17"/>
    </row>
    <row r="9" spans="1:11" ht="66.75" customHeight="1" x14ac:dyDescent="0.2">
      <c r="A9" s="145" t="s">
        <v>63</v>
      </c>
      <c r="B9" s="145"/>
      <c r="C9" s="145"/>
      <c r="D9" s="145"/>
      <c r="E9" s="145"/>
      <c r="F9" s="145"/>
      <c r="G9" s="23"/>
      <c r="H9" s="17"/>
      <c r="I9" s="17"/>
      <c r="J9" s="17"/>
      <c r="K9" s="17"/>
    </row>
    <row r="10" spans="1:11" s="93" customFormat="1" ht="36" customHeight="1" x14ac:dyDescent="0.2">
      <c r="A10" s="87" t="s">
        <v>64</v>
      </c>
      <c r="B10" s="88" t="s">
        <v>65</v>
      </c>
      <c r="C10" s="88" t="s">
        <v>66</v>
      </c>
      <c r="D10" s="89"/>
      <c r="E10" s="90" t="s">
        <v>29</v>
      </c>
      <c r="F10" s="91" t="s">
        <v>67</v>
      </c>
      <c r="G10" s="92"/>
      <c r="H10" s="92"/>
      <c r="I10" s="92"/>
      <c r="J10" s="92"/>
      <c r="K10" s="92"/>
    </row>
    <row r="11" spans="1:11" ht="27.75" customHeight="1" x14ac:dyDescent="0.2">
      <c r="A11" s="8" t="s">
        <v>68</v>
      </c>
      <c r="B11" s="59">
        <f>B15+B16+B17</f>
        <v>49677.659999999967</v>
      </c>
      <c r="C11" s="66" t="str">
        <f>IF(Travel!B6="",A34,Travel!B6)</f>
        <v>Figures exclude GST</v>
      </c>
      <c r="D11" s="6"/>
      <c r="E11" s="8" t="s">
        <v>69</v>
      </c>
      <c r="F11" s="33">
        <f>'Gifts and benefits'!C38</f>
        <v>14</v>
      </c>
      <c r="G11" s="29"/>
      <c r="H11" s="29"/>
      <c r="I11" s="29"/>
      <c r="J11" s="29"/>
      <c r="K11" s="29"/>
    </row>
    <row r="12" spans="1:11" ht="27.75" customHeight="1" x14ac:dyDescent="0.2">
      <c r="A12" s="8" t="s">
        <v>24</v>
      </c>
      <c r="B12" s="59">
        <f>Hospitality!B19</f>
        <v>296.41000000000003</v>
      </c>
      <c r="C12" s="66" t="str">
        <f>IF(Hospitality!B6="",A34,Hospitality!B6)</f>
        <v>Figures exclude GST</v>
      </c>
      <c r="D12" s="6"/>
      <c r="E12" s="8" t="s">
        <v>70</v>
      </c>
      <c r="F12" s="33">
        <f>'Gifts and benefits'!C39</f>
        <v>13</v>
      </c>
      <c r="G12" s="29"/>
      <c r="H12" s="29"/>
      <c r="I12" s="29"/>
      <c r="J12" s="29"/>
      <c r="K12" s="29"/>
    </row>
    <row r="13" spans="1:11" ht="27.75" customHeight="1" x14ac:dyDescent="0.2">
      <c r="A13" s="8" t="s">
        <v>71</v>
      </c>
      <c r="B13" s="59">
        <f>'All other expenses'!B18</f>
        <v>46.1</v>
      </c>
      <c r="C13" s="66" t="str">
        <f>IF('All other expenses'!B6="",A34,'All other expenses'!B6)</f>
        <v>Figures exclude GST</v>
      </c>
      <c r="D13" s="6"/>
      <c r="E13" s="8" t="s">
        <v>72</v>
      </c>
      <c r="F13" s="33">
        <f>'Gifts and benefits'!C40</f>
        <v>1</v>
      </c>
      <c r="G13" s="17"/>
      <c r="H13" s="17"/>
      <c r="I13" s="17"/>
      <c r="J13" s="17"/>
      <c r="K13" s="17"/>
    </row>
    <row r="14" spans="1:11" ht="12.75" customHeight="1" x14ac:dyDescent="0.2">
      <c r="A14" s="7"/>
      <c r="B14" s="60"/>
      <c r="C14" s="67"/>
      <c r="D14" s="34"/>
      <c r="E14" s="6"/>
      <c r="F14" s="35"/>
      <c r="G14" s="17"/>
      <c r="H14" s="17"/>
      <c r="I14" s="17"/>
      <c r="J14" s="17"/>
      <c r="K14" s="17"/>
    </row>
    <row r="15" spans="1:11" ht="27.75" customHeight="1" x14ac:dyDescent="0.2">
      <c r="A15" s="9" t="s">
        <v>73</v>
      </c>
      <c r="B15" s="61">
        <f>Travel!B26</f>
        <v>7314.2800000000007</v>
      </c>
      <c r="C15" s="68" t="str">
        <f>C11</f>
        <v>Figures exclude GST</v>
      </c>
      <c r="D15" s="6"/>
      <c r="E15" s="6"/>
      <c r="F15" s="35"/>
      <c r="G15" s="17"/>
      <c r="H15" s="17"/>
      <c r="I15" s="17"/>
      <c r="J15" s="17"/>
      <c r="K15" s="17"/>
    </row>
    <row r="16" spans="1:11" ht="27.75" customHeight="1" x14ac:dyDescent="0.2">
      <c r="A16" s="9" t="s">
        <v>74</v>
      </c>
      <c r="B16" s="61">
        <f>Travel!B261</f>
        <v>41799.52999999997</v>
      </c>
      <c r="C16" s="68" t="str">
        <f>C11</f>
        <v>Figures exclude GST</v>
      </c>
      <c r="D16" s="36"/>
      <c r="E16" s="6"/>
      <c r="F16" s="37"/>
      <c r="G16" s="17"/>
      <c r="H16" s="17"/>
      <c r="I16" s="17"/>
      <c r="J16" s="17"/>
      <c r="K16" s="17"/>
    </row>
    <row r="17" spans="1:11" ht="27.75" customHeight="1" x14ac:dyDescent="0.2">
      <c r="A17" s="9" t="s">
        <v>75</v>
      </c>
      <c r="B17" s="61">
        <f>Travel!B291</f>
        <v>563.85</v>
      </c>
      <c r="C17" s="68" t="str">
        <f>C11</f>
        <v>Figures exclude GST</v>
      </c>
      <c r="D17" s="6"/>
      <c r="E17" s="6"/>
      <c r="F17" s="37"/>
      <c r="G17" s="17"/>
      <c r="H17" s="17"/>
      <c r="I17" s="17"/>
      <c r="J17" s="17"/>
      <c r="K17" s="17"/>
    </row>
    <row r="18" spans="1:11" ht="27.75" customHeight="1" x14ac:dyDescent="0.2">
      <c r="A18" s="17"/>
      <c r="B18" s="19"/>
      <c r="C18" s="17"/>
      <c r="D18" s="5"/>
      <c r="E18" s="5"/>
      <c r="F18" s="28"/>
      <c r="G18" s="17"/>
      <c r="H18" s="17"/>
      <c r="I18" s="17"/>
      <c r="J18" s="17"/>
      <c r="K18" s="17"/>
    </row>
    <row r="19" spans="1:11" x14ac:dyDescent="0.2">
      <c r="A19" s="18" t="s">
        <v>76</v>
      </c>
      <c r="B19" s="19"/>
      <c r="C19" s="17"/>
      <c r="D19" s="17"/>
      <c r="E19" s="17"/>
      <c r="F19" s="17"/>
      <c r="G19" s="17"/>
      <c r="H19" s="17"/>
      <c r="I19" s="17"/>
      <c r="J19" s="17"/>
      <c r="K19" s="17"/>
    </row>
    <row r="20" spans="1:11" x14ac:dyDescent="0.2">
      <c r="A20" s="20" t="s">
        <v>77</v>
      </c>
      <c r="D20" s="17"/>
      <c r="E20" s="17"/>
      <c r="F20" s="17"/>
      <c r="G20" s="17"/>
      <c r="H20" s="17"/>
      <c r="I20" s="17"/>
      <c r="J20" s="17"/>
      <c r="K20" s="17"/>
    </row>
    <row r="21" spans="1:11" ht="12.75" customHeight="1" x14ac:dyDescent="0.2">
      <c r="A21" s="20" t="s">
        <v>78</v>
      </c>
      <c r="D21" s="17"/>
      <c r="E21" s="17"/>
      <c r="F21" s="17"/>
      <c r="G21" s="17"/>
      <c r="H21" s="17"/>
      <c r="I21" s="17"/>
      <c r="J21" s="17"/>
      <c r="K21" s="17"/>
    </row>
    <row r="22" spans="1:11" ht="12.75" customHeight="1" x14ac:dyDescent="0.2">
      <c r="A22" s="20" t="s">
        <v>79</v>
      </c>
      <c r="D22" s="17"/>
      <c r="E22" s="17"/>
      <c r="F22" s="17"/>
      <c r="G22" s="17"/>
      <c r="H22" s="17"/>
      <c r="I22" s="17"/>
      <c r="J22" s="17"/>
      <c r="K22" s="17"/>
    </row>
    <row r="23" spans="1:11" ht="12.75" customHeight="1" x14ac:dyDescent="0.2">
      <c r="A23" s="20" t="s">
        <v>80</v>
      </c>
      <c r="D23" s="17"/>
      <c r="E23" s="17"/>
      <c r="F23" s="17"/>
      <c r="G23" s="17"/>
      <c r="H23" s="17"/>
      <c r="I23" s="17"/>
      <c r="J23" s="17"/>
      <c r="K23" s="17"/>
    </row>
    <row r="24" spans="1:11" x14ac:dyDescent="0.2">
      <c r="A24" s="26"/>
      <c r="B24" s="17"/>
      <c r="C24" s="17"/>
      <c r="D24" s="17"/>
      <c r="E24" s="17"/>
      <c r="F24" s="17"/>
      <c r="G24" s="17"/>
      <c r="H24" s="17"/>
      <c r="I24" s="17"/>
      <c r="J24" s="17"/>
      <c r="K24" s="17"/>
    </row>
    <row r="25" spans="1:11" hidden="1" x14ac:dyDescent="0.2">
      <c r="A25" s="12" t="s">
        <v>81</v>
      </c>
      <c r="B25" s="13"/>
      <c r="C25" s="13"/>
      <c r="D25" s="13"/>
      <c r="E25" s="13"/>
      <c r="F25" s="13"/>
      <c r="G25" s="17"/>
      <c r="H25" s="17"/>
      <c r="I25" s="17"/>
      <c r="J25" s="17"/>
      <c r="K25" s="17"/>
    </row>
    <row r="26" spans="1:11" ht="12.75" hidden="1" customHeight="1" x14ac:dyDescent="0.2">
      <c r="A26" s="11" t="s">
        <v>82</v>
      </c>
      <c r="B26" s="4"/>
      <c r="C26" s="4"/>
      <c r="D26" s="11"/>
      <c r="E26" s="11"/>
      <c r="F26" s="11"/>
      <c r="G26" s="17"/>
      <c r="H26" s="17"/>
      <c r="I26" s="17"/>
      <c r="J26" s="17"/>
      <c r="K26" s="17"/>
    </row>
    <row r="27" spans="1:11" hidden="1" x14ac:dyDescent="0.2">
      <c r="A27" s="10" t="s">
        <v>83</v>
      </c>
      <c r="B27" s="10"/>
      <c r="C27" s="10"/>
      <c r="D27" s="10"/>
      <c r="E27" s="10"/>
      <c r="F27" s="10"/>
      <c r="G27" s="17"/>
      <c r="H27" s="17"/>
      <c r="I27" s="17"/>
      <c r="J27" s="17"/>
      <c r="K27" s="17"/>
    </row>
    <row r="28" spans="1:11" hidden="1" x14ac:dyDescent="0.2">
      <c r="A28" s="10" t="s">
        <v>84</v>
      </c>
      <c r="B28" s="10"/>
      <c r="C28" s="10"/>
      <c r="D28" s="10"/>
      <c r="E28" s="10"/>
      <c r="F28" s="10"/>
      <c r="G28" s="17"/>
      <c r="H28" s="17"/>
      <c r="I28" s="17"/>
      <c r="J28" s="17"/>
      <c r="K28" s="17"/>
    </row>
    <row r="29" spans="1:11" hidden="1" x14ac:dyDescent="0.2">
      <c r="A29" s="11" t="s">
        <v>85</v>
      </c>
      <c r="B29" s="11"/>
      <c r="C29" s="11"/>
      <c r="D29" s="11"/>
      <c r="E29" s="11"/>
      <c r="F29" s="11"/>
      <c r="G29" s="17"/>
      <c r="H29" s="17"/>
      <c r="I29" s="17"/>
      <c r="J29" s="17"/>
      <c r="K29" s="17"/>
    </row>
    <row r="30" spans="1:11" hidden="1" x14ac:dyDescent="0.2">
      <c r="A30" s="11" t="s">
        <v>86</v>
      </c>
      <c r="B30" s="11"/>
      <c r="C30" s="11"/>
      <c r="D30" s="11"/>
      <c r="E30" s="11"/>
      <c r="F30" s="11"/>
      <c r="G30" s="17"/>
      <c r="H30" s="17"/>
      <c r="I30" s="17"/>
      <c r="J30" s="17"/>
      <c r="K30" s="17"/>
    </row>
    <row r="31" spans="1:11" hidden="1" x14ac:dyDescent="0.2">
      <c r="A31" s="10" t="s">
        <v>87</v>
      </c>
      <c r="B31" s="10"/>
      <c r="C31" s="10"/>
      <c r="D31" s="10"/>
      <c r="E31" s="10"/>
      <c r="F31" s="10"/>
      <c r="G31" s="17"/>
      <c r="H31" s="17"/>
      <c r="I31" s="17"/>
      <c r="J31" s="17"/>
      <c r="K31" s="17"/>
    </row>
    <row r="32" spans="1:11" hidden="1" x14ac:dyDescent="0.2">
      <c r="A32" s="10" t="s">
        <v>88</v>
      </c>
      <c r="B32" s="10"/>
      <c r="C32" s="10"/>
      <c r="D32" s="10"/>
      <c r="E32" s="10"/>
      <c r="F32" s="10"/>
      <c r="G32" s="17"/>
      <c r="H32" s="17"/>
      <c r="I32" s="17"/>
      <c r="J32" s="17"/>
      <c r="K32" s="17"/>
    </row>
    <row r="33" spans="1:11" hidden="1" x14ac:dyDescent="0.2">
      <c r="A33" s="10" t="s">
        <v>89</v>
      </c>
      <c r="B33" s="10"/>
      <c r="C33" s="10"/>
      <c r="D33" s="10"/>
      <c r="E33" s="10"/>
      <c r="F33" s="10"/>
      <c r="G33" s="17"/>
      <c r="H33" s="17"/>
      <c r="I33" s="17"/>
      <c r="J33" s="17"/>
      <c r="K33" s="17"/>
    </row>
    <row r="34" spans="1:11" hidden="1" x14ac:dyDescent="0.2">
      <c r="A34" s="11" t="s">
        <v>90</v>
      </c>
      <c r="B34" s="11"/>
      <c r="C34" s="11"/>
      <c r="D34" s="11"/>
      <c r="E34" s="11"/>
      <c r="F34" s="11"/>
      <c r="G34" s="17"/>
      <c r="H34" s="17"/>
      <c r="I34" s="17"/>
      <c r="J34" s="17"/>
      <c r="K34" s="17"/>
    </row>
    <row r="35" spans="1:11" hidden="1" x14ac:dyDescent="0.2">
      <c r="A35" s="11" t="s">
        <v>91</v>
      </c>
      <c r="B35" s="11"/>
      <c r="C35" s="11"/>
      <c r="D35" s="11"/>
      <c r="E35" s="11"/>
      <c r="F35" s="11"/>
      <c r="G35" s="17"/>
      <c r="H35" s="17"/>
      <c r="I35" s="17"/>
      <c r="J35" s="17"/>
      <c r="K35" s="17"/>
    </row>
    <row r="36" spans="1:11" hidden="1" x14ac:dyDescent="0.2">
      <c r="A36" s="10" t="s">
        <v>60</v>
      </c>
      <c r="B36" s="63"/>
      <c r="C36" s="63"/>
      <c r="D36" s="63"/>
      <c r="E36" s="63"/>
      <c r="F36" s="63"/>
      <c r="G36" s="17"/>
      <c r="H36" s="17"/>
      <c r="I36" s="17"/>
      <c r="J36" s="17"/>
      <c r="K36" s="17"/>
    </row>
    <row r="37" spans="1:11" hidden="1" x14ac:dyDescent="0.2">
      <c r="A37" s="10" t="s">
        <v>92</v>
      </c>
      <c r="B37" s="63"/>
      <c r="C37" s="63"/>
      <c r="D37" s="63"/>
      <c r="E37" s="63"/>
      <c r="F37" s="63"/>
      <c r="G37" s="17"/>
      <c r="H37" s="17"/>
      <c r="I37" s="17"/>
      <c r="J37" s="17"/>
      <c r="K37" s="17"/>
    </row>
    <row r="38" spans="1:11" hidden="1" x14ac:dyDescent="0.2">
      <c r="A38" s="10" t="s">
        <v>62</v>
      </c>
      <c r="B38" s="63"/>
      <c r="C38" s="63"/>
      <c r="D38" s="63"/>
      <c r="E38" s="63"/>
      <c r="F38" s="63"/>
      <c r="G38" s="17"/>
      <c r="H38" s="17"/>
      <c r="I38" s="17"/>
      <c r="J38" s="17"/>
      <c r="K38" s="17"/>
    </row>
    <row r="39" spans="1:11" hidden="1" x14ac:dyDescent="0.2">
      <c r="A39" s="11" t="s">
        <v>93</v>
      </c>
      <c r="B39" s="4"/>
      <c r="C39" s="4"/>
      <c r="D39" s="4"/>
      <c r="E39" s="4"/>
      <c r="F39" s="4"/>
      <c r="G39" s="17"/>
      <c r="H39" s="17"/>
      <c r="I39" s="17"/>
      <c r="J39" s="17"/>
      <c r="K39" s="17"/>
    </row>
    <row r="40" spans="1:11" hidden="1" x14ac:dyDescent="0.2">
      <c r="A40" s="4" t="s">
        <v>94</v>
      </c>
      <c r="B40" s="4"/>
      <c r="C40" s="4"/>
      <c r="D40" s="4"/>
      <c r="E40" s="4"/>
      <c r="F40" s="4"/>
      <c r="G40" s="17"/>
      <c r="H40" s="17"/>
      <c r="I40" s="17"/>
      <c r="J40" s="17"/>
      <c r="K40" s="17"/>
    </row>
    <row r="41" spans="1:11" hidden="1" x14ac:dyDescent="0.2">
      <c r="A41" s="4" t="s">
        <v>95</v>
      </c>
      <c r="B41" s="4"/>
      <c r="C41" s="4"/>
      <c r="D41" s="4"/>
      <c r="E41" s="4"/>
      <c r="F41" s="4"/>
      <c r="G41" s="17"/>
      <c r="H41" s="17"/>
      <c r="I41" s="17"/>
      <c r="J41" s="17"/>
      <c r="K41" s="17"/>
    </row>
    <row r="42" spans="1:11" hidden="1" x14ac:dyDescent="0.2">
      <c r="A42" s="4" t="s">
        <v>96</v>
      </c>
      <c r="B42" s="4"/>
      <c r="C42" s="4"/>
      <c r="D42" s="4"/>
      <c r="E42" s="4"/>
      <c r="F42" s="4"/>
      <c r="G42" s="17"/>
      <c r="H42" s="17"/>
      <c r="I42" s="17"/>
      <c r="J42" s="17"/>
      <c r="K42" s="17"/>
    </row>
    <row r="43" spans="1:11" hidden="1" x14ac:dyDescent="0.2">
      <c r="A43" s="4" t="s">
        <v>97</v>
      </c>
      <c r="B43" s="4"/>
      <c r="C43" s="4"/>
      <c r="D43" s="4"/>
      <c r="E43" s="4"/>
      <c r="F43" s="4"/>
      <c r="G43" s="17"/>
      <c r="H43" s="17"/>
      <c r="I43" s="17"/>
      <c r="J43" s="17"/>
      <c r="K43" s="17"/>
    </row>
    <row r="44" spans="1:11" hidden="1" x14ac:dyDescent="0.2">
      <c r="A44" s="4" t="s">
        <v>98</v>
      </c>
      <c r="B44" s="4"/>
      <c r="C44" s="4"/>
      <c r="D44" s="4"/>
      <c r="E44" s="4"/>
      <c r="F44" s="4"/>
      <c r="G44" s="17"/>
      <c r="H44" s="17"/>
      <c r="I44" s="17"/>
      <c r="J44" s="17"/>
      <c r="K44" s="17"/>
    </row>
    <row r="45" spans="1:11" hidden="1" x14ac:dyDescent="0.2">
      <c r="A45" s="64" t="s">
        <v>99</v>
      </c>
      <c r="B45" s="63"/>
      <c r="C45" s="63"/>
      <c r="D45" s="63"/>
      <c r="E45" s="63"/>
      <c r="F45" s="63"/>
      <c r="G45" s="17"/>
      <c r="H45" s="17"/>
      <c r="I45" s="17"/>
      <c r="J45" s="17"/>
      <c r="K45" s="17"/>
    </row>
    <row r="46" spans="1:11" hidden="1" x14ac:dyDescent="0.2">
      <c r="A46" s="63" t="s">
        <v>100</v>
      </c>
      <c r="B46" s="63"/>
      <c r="C46" s="63"/>
      <c r="D46" s="63"/>
      <c r="E46" s="63"/>
      <c r="F46" s="63"/>
      <c r="G46" s="17"/>
      <c r="H46" s="17"/>
      <c r="I46" s="17"/>
      <c r="J46" s="17"/>
      <c r="K46" s="17"/>
    </row>
    <row r="47" spans="1:11" hidden="1" x14ac:dyDescent="0.2">
      <c r="A47" s="38">
        <v>-20000</v>
      </c>
      <c r="B47" s="4"/>
      <c r="C47" s="4"/>
      <c r="D47" s="4"/>
      <c r="E47" s="4"/>
      <c r="F47" s="4"/>
      <c r="G47" s="17"/>
      <c r="H47" s="17"/>
      <c r="I47" s="17"/>
      <c r="J47" s="17"/>
      <c r="K47" s="17"/>
    </row>
    <row r="48" spans="1:11" ht="25.5" hidden="1" x14ac:dyDescent="0.2">
      <c r="A48" s="81" t="s">
        <v>101</v>
      </c>
      <c r="B48" s="63"/>
      <c r="C48" s="63"/>
      <c r="D48" s="63"/>
      <c r="E48" s="63"/>
      <c r="F48" s="63"/>
      <c r="G48" s="17"/>
      <c r="H48" s="17"/>
      <c r="I48" s="17"/>
      <c r="J48" s="17"/>
      <c r="K48" s="17"/>
    </row>
    <row r="49" spans="1:11" ht="25.5" hidden="1" x14ac:dyDescent="0.2">
      <c r="A49" s="81" t="s">
        <v>102</v>
      </c>
      <c r="B49" s="63"/>
      <c r="C49" s="63"/>
      <c r="D49" s="63"/>
      <c r="E49" s="63"/>
      <c r="F49" s="63"/>
      <c r="G49" s="17"/>
      <c r="H49" s="17"/>
      <c r="I49" s="17"/>
      <c r="J49" s="17"/>
      <c r="K49" s="17"/>
    </row>
    <row r="50" spans="1:11" ht="25.5" hidden="1" x14ac:dyDescent="0.2">
      <c r="A50" s="82" t="s">
        <v>103</v>
      </c>
      <c r="B50" s="4"/>
      <c r="C50" s="4"/>
      <c r="D50" s="4"/>
      <c r="E50" s="4"/>
      <c r="F50" s="4"/>
      <c r="G50" s="17"/>
      <c r="H50" s="17"/>
      <c r="I50" s="17"/>
      <c r="J50" s="17"/>
      <c r="K50" s="17"/>
    </row>
    <row r="51" spans="1:11" ht="25.5" hidden="1" x14ac:dyDescent="0.2">
      <c r="A51" s="82" t="s">
        <v>104</v>
      </c>
      <c r="B51" s="4"/>
      <c r="C51" s="4"/>
      <c r="D51" s="4"/>
      <c r="E51" s="4"/>
      <c r="F51" s="4"/>
      <c r="G51" s="17"/>
      <c r="H51" s="17"/>
      <c r="I51" s="17"/>
      <c r="J51" s="17"/>
      <c r="K51" s="17"/>
    </row>
    <row r="52" spans="1:11" ht="38.25" hidden="1" x14ac:dyDescent="0.2">
      <c r="A52" s="82" t="s">
        <v>105</v>
      </c>
      <c r="B52" s="74"/>
      <c r="C52" s="74"/>
      <c r="D52" s="74"/>
      <c r="E52" s="11"/>
      <c r="F52" s="11"/>
      <c r="G52" s="17"/>
      <c r="H52" s="17"/>
      <c r="I52" s="17"/>
      <c r="J52" s="17"/>
      <c r="K52" s="17"/>
    </row>
    <row r="53" spans="1:11" hidden="1" x14ac:dyDescent="0.2">
      <c r="A53" s="79" t="s">
        <v>106</v>
      </c>
      <c r="B53" s="73"/>
      <c r="C53" s="73"/>
      <c r="D53" s="73"/>
      <c r="E53" s="10"/>
      <c r="F53" s="10" t="b">
        <v>1</v>
      </c>
      <c r="G53" s="17"/>
      <c r="H53" s="17"/>
      <c r="I53" s="17"/>
      <c r="J53" s="17"/>
      <c r="K53" s="17"/>
    </row>
    <row r="54" spans="1:11" hidden="1" x14ac:dyDescent="0.2">
      <c r="A54" s="80" t="s">
        <v>107</v>
      </c>
      <c r="B54" s="79"/>
      <c r="C54" s="79"/>
      <c r="D54" s="79"/>
      <c r="E54" s="10"/>
      <c r="F54" s="10" t="b">
        <v>0</v>
      </c>
      <c r="G54" s="17"/>
      <c r="H54" s="17"/>
      <c r="I54" s="17"/>
      <c r="J54" s="17"/>
      <c r="K54" s="17"/>
    </row>
    <row r="55" spans="1:11" hidden="1" x14ac:dyDescent="0.2">
      <c r="A55" s="83"/>
      <c r="B55" s="75">
        <f>COUNT(Travel!B12:B25)</f>
        <v>11</v>
      </c>
      <c r="C55" s="75"/>
      <c r="D55" s="75">
        <f>COUNTIF(Travel!D12:D25,"*")</f>
        <v>11</v>
      </c>
      <c r="E55" s="76"/>
      <c r="F55" s="76" t="b">
        <f>MIN(B55,D55)=MAX(B55,D55)</f>
        <v>1</v>
      </c>
      <c r="G55" s="17"/>
      <c r="H55" s="17"/>
      <c r="I55" s="17"/>
      <c r="J55" s="17"/>
      <c r="K55" s="17"/>
    </row>
    <row r="56" spans="1:11" hidden="1" x14ac:dyDescent="0.2">
      <c r="A56" s="83" t="s">
        <v>108</v>
      </c>
      <c r="B56" s="75">
        <f>COUNT(Travel!B30:B260)</f>
        <v>175</v>
      </c>
      <c r="C56" s="75"/>
      <c r="D56" s="75">
        <f>COUNTIF(Travel!D30:D260,"*")</f>
        <v>164</v>
      </c>
      <c r="E56" s="76"/>
      <c r="F56" s="76" t="b">
        <f>MIN(B56,D56)=MAX(B56,D56)</f>
        <v>0</v>
      </c>
    </row>
    <row r="57" spans="1:11" hidden="1" x14ac:dyDescent="0.2">
      <c r="A57" s="84"/>
      <c r="B57" s="75">
        <f>COUNT(Travel!B265:B290)</f>
        <v>24</v>
      </c>
      <c r="C57" s="75"/>
      <c r="D57" s="75">
        <f>COUNTIF(Travel!D265:D290,"*")</f>
        <v>24</v>
      </c>
      <c r="E57" s="76"/>
      <c r="F57" s="76" t="b">
        <f>MIN(B57,D57)=MAX(B57,D57)</f>
        <v>1</v>
      </c>
    </row>
    <row r="58" spans="1:11" hidden="1" x14ac:dyDescent="0.2">
      <c r="A58" s="85" t="s">
        <v>109</v>
      </c>
      <c r="B58" s="77">
        <f>COUNT(Hospitality!B11:B18)</f>
        <v>6</v>
      </c>
      <c r="C58" s="77"/>
      <c r="D58" s="77">
        <f>COUNTIF(Hospitality!D11:D18,"*")</f>
        <v>6</v>
      </c>
      <c r="E58" s="78"/>
      <c r="F58" s="78" t="b">
        <f>MIN(B58,D58)=MAX(B58,D58)</f>
        <v>1</v>
      </c>
    </row>
    <row r="59" spans="1:11" hidden="1" x14ac:dyDescent="0.2">
      <c r="A59" s="86" t="s">
        <v>110</v>
      </c>
      <c r="B59" s="76">
        <f>COUNT('All other expenses'!B11:B17)</f>
        <v>1</v>
      </c>
      <c r="C59" s="76"/>
      <c r="D59" s="76">
        <f>COUNTIF('All other expenses'!D11:D17,"*")</f>
        <v>1</v>
      </c>
      <c r="E59" s="76"/>
      <c r="F59" s="76" t="b">
        <f>MIN(B59,D59)=MAX(B59,D59)</f>
        <v>1</v>
      </c>
    </row>
    <row r="60" spans="1:11" hidden="1" x14ac:dyDescent="0.2">
      <c r="A60" s="85" t="s">
        <v>111</v>
      </c>
      <c r="B60" s="77">
        <f>COUNTIF('Gifts and benefits'!B11:B37,"*")</f>
        <v>14</v>
      </c>
      <c r="C60" s="77">
        <f>COUNTIF('Gifts and benefits'!C11:C37,"*")</f>
        <v>14</v>
      </c>
      <c r="D60" s="77"/>
      <c r="E60" s="77">
        <f>COUNTA('Gifts and benefits'!E11:E37)</f>
        <v>14</v>
      </c>
      <c r="F60" s="78" t="b">
        <f>MIN(B60,C60,E60)=MAX(B60,C60,E60)</f>
        <v>1</v>
      </c>
    </row>
    <row r="61" spans="1:11" x14ac:dyDescent="0.2"/>
  </sheetData>
  <sheetProtection formatCells="0" insertRows="0" deleteRows="0"/>
  <mergeCells count="9">
    <mergeCell ref="A9:F9"/>
    <mergeCell ref="B7:F7"/>
    <mergeCell ref="B6:F6"/>
    <mergeCell ref="A1:F1"/>
    <mergeCell ref="B2:F2"/>
    <mergeCell ref="B3:F3"/>
    <mergeCell ref="B4:F4"/>
    <mergeCell ref="B5:F5"/>
    <mergeCell ref="B8:F8"/>
  </mergeCells>
  <conditionalFormatting sqref="B7:F7">
    <cfRule type="cellIs" dxfId="1" priority="2" operator="equal">
      <formula>$A$36</formula>
    </cfRule>
  </conditionalFormatting>
  <conditionalFormatting sqref="B8:F8">
    <cfRule type="cellIs" dxfId="0" priority="1" operator="equal">
      <formula>$A$38</formula>
    </cfRule>
  </conditionalFormatting>
  <dataValidations count="6">
    <dataValidation type="list" allowBlank="1" showInputMessage="1" showErrorMessage="1" error="Use the drop down list (at the right of the cell)" prompt="This disclosure must be approved by the Departmental Secretary or Chief Executive - use the drop down list (at right of cell) to indicate whether this has been completed" sqref="B7:F7" xr:uid="{00000000-0002-0000-0100-000000000000}">
      <formula1>$A$36:$A$37</formula1>
    </dataValidation>
    <dataValidation allowBlank="1" showInputMessage="1" showErrorMessage="1" prompt="This disclosure must be approved by another appropriate party (e.g. Audit and Risk Committee member, Board Chair or Chief Financial Officer)_x000a__x000a_Use this cell to indicate who has approved the disclosure" sqref="B8:F8" xr:uid="{00000000-0002-0000-0100-000001000000}"/>
    <dataValidation allowBlank="1" showInputMessage="1" showErrorMessage="1" prompt="Headings on following tabs will pre populate with what you enter here" sqref="B2:F2" xr:uid="{00000000-0002-0000-0100-000002000000}"/>
    <dataValidation allowBlank="1" showInputMessage="1" showErrorMessage="1" prompt="Headings on following tabs will pre populate with what you enter here_x000a__x000a_Create a new workbook for a new Departmental Secretary or Chief Executive" sqref="B3:F3" xr:uid="{00000000-0002-0000-0100-000003000000}"/>
    <dataValidation allowBlank="1" showInputMessage="1" showErrorMessage="1" prompt="Headings on following tabs will pre populate with what you enter here_x000a__x000a_Update if a shorter or different period is covered" sqref="B4:F5" xr:uid="{00000000-0002-0000-0100-000004000000}"/>
    <dataValidation allowBlank="1" showInputMessage="1" showErrorMessage="1" prompt="Totals should accurately sum the content of tables but this may be affected by input method - e.g. hidden or inappropriate data._x000a__x000a_Agencies must confirm the accuracy of their data and totals._x000a__x000a_This cell updates automatically as each worksheet is checked." sqref="B6:F6" xr:uid="{00000000-0002-0000-0100-000005000000}"/>
  </dataValidations>
  <printOptions gridLines="1"/>
  <pageMargins left="0.70866141732283472" right="0.70866141732283472" top="0.74803149606299213" bottom="0.74803149606299213" header="0.31496062992125984" footer="0.31496062992125984"/>
  <pageSetup paperSize="9" scale="92" orientation="landscape" r:id="rId1"/>
  <headerFooter alignWithMargins="0">
    <oddFooter>&amp;LCE Expense Disclosure Workbook 2018&amp;RWorksheet - Summary and sign-off</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3" tint="0.39997558519241921"/>
    <pageSetUpPr fitToPage="1"/>
  </sheetPr>
  <dimension ref="A1:M316"/>
  <sheetViews>
    <sheetView topLeftCell="A224" zoomScaleNormal="100" workbookViewId="0">
      <selection activeCell="C138" sqref="C138"/>
    </sheetView>
  </sheetViews>
  <sheetFormatPr defaultColWidth="0" defaultRowHeight="12.75" x14ac:dyDescent="0.2"/>
  <cols>
    <col min="1" max="1" width="35.7109375" customWidth="1"/>
    <col min="2" max="2" width="14.28515625" customWidth="1"/>
    <col min="3" max="3" width="71.42578125" customWidth="1"/>
    <col min="4" max="4" width="50" customWidth="1"/>
    <col min="5" max="5" width="21.42578125" customWidth="1"/>
    <col min="6" max="6" width="37.5703125" customWidth="1"/>
    <col min="7" max="9" width="9.140625" hidden="1" customWidth="1"/>
    <col min="10" max="13" width="0" hidden="1" customWidth="1"/>
    <col min="14" max="16384" width="9.140625" hidden="1"/>
  </cols>
  <sheetData>
    <row r="1" spans="1:6" ht="26.25" customHeight="1" x14ac:dyDescent="0.2">
      <c r="A1" s="153" t="s">
        <v>112</v>
      </c>
      <c r="B1" s="153"/>
      <c r="C1" s="153"/>
      <c r="D1" s="153"/>
      <c r="E1" s="153"/>
      <c r="F1" s="17"/>
    </row>
    <row r="2" spans="1:6" ht="21" customHeight="1" x14ac:dyDescent="0.2">
      <c r="A2" s="3" t="s">
        <v>113</v>
      </c>
      <c r="B2" s="151" t="str">
        <f>'Summary and sign-off'!B2:F2</f>
        <v>Sport NZ</v>
      </c>
      <c r="C2" s="151"/>
      <c r="D2" s="151"/>
      <c r="E2" s="151"/>
      <c r="F2" s="17"/>
    </row>
    <row r="3" spans="1:6" ht="31.5" x14ac:dyDescent="0.2">
      <c r="A3" s="3" t="s">
        <v>114</v>
      </c>
      <c r="B3" s="151" t="str">
        <f>'Summary and sign-off'!B3:F3</f>
        <v>Raelene Castle</v>
      </c>
      <c r="C3" s="151"/>
      <c r="D3" s="151"/>
      <c r="E3" s="151"/>
      <c r="F3" s="17"/>
    </row>
    <row r="4" spans="1:6" ht="21" customHeight="1" x14ac:dyDescent="0.2">
      <c r="A4" s="3" t="s">
        <v>115</v>
      </c>
      <c r="B4" s="151">
        <f>'Summary and sign-off'!B4:F4</f>
        <v>45839</v>
      </c>
      <c r="C4" s="151"/>
      <c r="D4" s="151"/>
      <c r="E4" s="151"/>
      <c r="F4" s="17"/>
    </row>
    <row r="5" spans="1:6" ht="21" customHeight="1" x14ac:dyDescent="0.2">
      <c r="A5" s="3" t="s">
        <v>116</v>
      </c>
      <c r="B5" s="151">
        <f>'Summary and sign-off'!B5:F5</f>
        <v>46203</v>
      </c>
      <c r="C5" s="151"/>
      <c r="D5" s="151"/>
      <c r="E5" s="151"/>
      <c r="F5" s="17"/>
    </row>
    <row r="6" spans="1:6" ht="21" customHeight="1" x14ac:dyDescent="0.2">
      <c r="A6" s="3" t="s">
        <v>117</v>
      </c>
      <c r="B6" s="146" t="s">
        <v>84</v>
      </c>
      <c r="C6" s="146"/>
      <c r="D6" s="146"/>
      <c r="E6" s="146"/>
      <c r="F6" s="17"/>
    </row>
    <row r="7" spans="1:6" ht="21" customHeight="1" x14ac:dyDescent="0.2">
      <c r="A7" s="3" t="s">
        <v>58</v>
      </c>
      <c r="B7" s="146" t="s">
        <v>86</v>
      </c>
      <c r="C7" s="146"/>
      <c r="D7" s="146"/>
      <c r="E7" s="146"/>
      <c r="F7" s="17"/>
    </row>
    <row r="8" spans="1:6" ht="36" customHeight="1" x14ac:dyDescent="0.2">
      <c r="A8" s="155" t="s">
        <v>118</v>
      </c>
      <c r="B8" s="156"/>
      <c r="C8" s="156"/>
      <c r="D8" s="156"/>
      <c r="E8" s="156"/>
      <c r="F8" s="19"/>
    </row>
    <row r="9" spans="1:6" ht="36" customHeight="1" x14ac:dyDescent="0.2">
      <c r="A9" s="157" t="s">
        <v>119</v>
      </c>
      <c r="B9" s="158"/>
      <c r="C9" s="158"/>
      <c r="D9" s="158"/>
      <c r="E9" s="158"/>
      <c r="F9" s="19"/>
    </row>
    <row r="10" spans="1:6" ht="24.75" customHeight="1" x14ac:dyDescent="0.2">
      <c r="A10" s="154" t="s">
        <v>120</v>
      </c>
      <c r="B10" s="159"/>
      <c r="C10" s="154"/>
      <c r="D10" s="154"/>
      <c r="E10" s="154"/>
      <c r="F10" s="29"/>
    </row>
    <row r="11" spans="1:6" ht="28.5" customHeight="1" x14ac:dyDescent="0.2">
      <c r="A11" s="24" t="s">
        <v>121</v>
      </c>
      <c r="B11" s="24" t="s">
        <v>122</v>
      </c>
      <c r="C11" s="24" t="s">
        <v>123</v>
      </c>
      <c r="D11" s="24" t="s">
        <v>124</v>
      </c>
      <c r="E11" s="24" t="s">
        <v>125</v>
      </c>
      <c r="F11" s="30"/>
    </row>
    <row r="12" spans="1:6" s="125" customFormat="1" x14ac:dyDescent="0.2">
      <c r="A12" s="109" t="s">
        <v>126</v>
      </c>
      <c r="B12" s="110">
        <v>5158.67</v>
      </c>
      <c r="C12" s="111" t="s">
        <v>127</v>
      </c>
      <c r="D12" s="111" t="s">
        <v>240</v>
      </c>
      <c r="E12" s="112" t="s">
        <v>128</v>
      </c>
      <c r="F12" s="1"/>
    </row>
    <row r="13" spans="1:6" s="125" customFormat="1" x14ac:dyDescent="0.2">
      <c r="A13" s="109" t="s">
        <v>126</v>
      </c>
      <c r="B13" s="110">
        <v>34.78</v>
      </c>
      <c r="C13" s="114" t="s">
        <v>127</v>
      </c>
      <c r="D13" s="114" t="s">
        <v>435</v>
      </c>
      <c r="E13" s="115" t="s">
        <v>154</v>
      </c>
      <c r="F13" s="1"/>
    </row>
    <row r="14" spans="1:6" s="125" customFormat="1" x14ac:dyDescent="0.2">
      <c r="A14" s="109" t="s">
        <v>126</v>
      </c>
      <c r="B14" s="110">
        <v>217.3</v>
      </c>
      <c r="C14" s="114" t="s">
        <v>127</v>
      </c>
      <c r="D14" s="114" t="s">
        <v>389</v>
      </c>
      <c r="E14" s="142" t="s">
        <v>130</v>
      </c>
      <c r="F14" s="1"/>
    </row>
    <row r="15" spans="1:6" s="125" customFormat="1" x14ac:dyDescent="0.2">
      <c r="A15" s="109" t="s">
        <v>126</v>
      </c>
      <c r="B15" s="110">
        <v>100.39</v>
      </c>
      <c r="C15" s="111" t="s">
        <v>127</v>
      </c>
      <c r="D15" s="111" t="s">
        <v>129</v>
      </c>
      <c r="E15" s="130" t="s">
        <v>130</v>
      </c>
      <c r="F15" s="1"/>
    </row>
    <row r="16" spans="1:6" s="125" customFormat="1" x14ac:dyDescent="0.2">
      <c r="A16" s="109"/>
      <c r="B16" s="110"/>
      <c r="C16" s="111"/>
      <c r="D16" s="111"/>
      <c r="E16" s="130"/>
      <c r="F16" s="1"/>
    </row>
    <row r="17" spans="1:6" s="125" customFormat="1" ht="25.5" x14ac:dyDescent="0.2">
      <c r="A17" s="124">
        <v>46152</v>
      </c>
      <c r="B17" s="110">
        <v>137</v>
      </c>
      <c r="C17" s="111" t="s">
        <v>131</v>
      </c>
      <c r="D17" s="111" t="s">
        <v>132</v>
      </c>
      <c r="E17" s="112" t="s">
        <v>133</v>
      </c>
      <c r="F17" s="1"/>
    </row>
    <row r="18" spans="1:6" s="125" customFormat="1" x14ac:dyDescent="0.2">
      <c r="A18" s="124"/>
      <c r="B18" s="110"/>
      <c r="C18" s="111"/>
      <c r="D18" s="111"/>
      <c r="E18" s="112"/>
      <c r="F18" s="1"/>
    </row>
    <row r="19" spans="1:6" s="127" customFormat="1" ht="25.5" x14ac:dyDescent="0.2">
      <c r="A19" s="124" t="s">
        <v>134</v>
      </c>
      <c r="B19" s="110">
        <v>53.18</v>
      </c>
      <c r="C19" s="111" t="s">
        <v>135</v>
      </c>
      <c r="D19" s="111" t="s">
        <v>346</v>
      </c>
      <c r="E19" s="112" t="s">
        <v>136</v>
      </c>
      <c r="F19" s="141"/>
    </row>
    <row r="20" spans="1:6" s="127" customFormat="1" ht="25.5" x14ac:dyDescent="0.2">
      <c r="A20" s="124" t="s">
        <v>134</v>
      </c>
      <c r="B20" s="110">
        <f>(26.64+37.4+35.61)</f>
        <v>99.649999999999991</v>
      </c>
      <c r="C20" s="111" t="s">
        <v>135</v>
      </c>
      <c r="D20" s="111" t="s">
        <v>138</v>
      </c>
      <c r="E20" s="112" t="s">
        <v>136</v>
      </c>
      <c r="F20" s="141"/>
    </row>
    <row r="21" spans="1:6" s="127" customFormat="1" ht="25.5" x14ac:dyDescent="0.2">
      <c r="A21" s="124" t="s">
        <v>134</v>
      </c>
      <c r="B21" s="110">
        <v>8.84</v>
      </c>
      <c r="C21" s="111" t="s">
        <v>135</v>
      </c>
      <c r="D21" s="111" t="s">
        <v>139</v>
      </c>
      <c r="E21" s="112" t="s">
        <v>136</v>
      </c>
      <c r="F21" s="141"/>
    </row>
    <row r="22" spans="1:6" s="127" customFormat="1" x14ac:dyDescent="0.2">
      <c r="A22" s="124"/>
      <c r="B22" s="110"/>
      <c r="C22" s="111"/>
      <c r="D22" s="111"/>
      <c r="E22" s="112"/>
      <c r="F22" s="141"/>
    </row>
    <row r="23" spans="1:6" s="127" customFormat="1" x14ac:dyDescent="0.2">
      <c r="A23" s="124" t="s">
        <v>434</v>
      </c>
      <c r="B23" s="110">
        <v>346.62</v>
      </c>
      <c r="C23" s="111" t="s">
        <v>140</v>
      </c>
      <c r="D23" s="111" t="s">
        <v>141</v>
      </c>
      <c r="E23" s="112" t="s">
        <v>142</v>
      </c>
      <c r="F23" s="1"/>
    </row>
    <row r="24" spans="1:6" s="2" customFormat="1" x14ac:dyDescent="0.2">
      <c r="A24" s="109" t="s">
        <v>434</v>
      </c>
      <c r="B24" s="143">
        <f>(560.52+235.37)</f>
        <v>795.89</v>
      </c>
      <c r="C24" s="111" t="s">
        <v>140</v>
      </c>
      <c r="D24" s="111" t="s">
        <v>143</v>
      </c>
      <c r="E24" s="112" t="s">
        <v>144</v>
      </c>
      <c r="F24" s="144"/>
    </row>
    <row r="25" spans="1:6" s="125" customFormat="1" ht="12.75" customHeight="1" x14ac:dyDescent="0.2">
      <c r="A25" s="109" t="s">
        <v>434</v>
      </c>
      <c r="B25" s="110">
        <f>(59.42+59.93+56.65+19.07+19.45+13.08+32.35+16.78+23+62.23)</f>
        <v>361.96000000000004</v>
      </c>
      <c r="C25" s="125" t="s">
        <v>140</v>
      </c>
      <c r="D25" s="111" t="s">
        <v>433</v>
      </c>
      <c r="E25" s="112" t="s">
        <v>144</v>
      </c>
      <c r="F25" s="141"/>
    </row>
    <row r="26" spans="1:6" ht="19.5" customHeight="1" x14ac:dyDescent="0.2">
      <c r="A26" s="71" t="s">
        <v>147</v>
      </c>
      <c r="B26" s="72">
        <f>SUM(B12:B25)</f>
        <v>7314.2800000000007</v>
      </c>
      <c r="C26" s="120" t="str">
        <f>IF(SUBTOTAL(3,B12:B25)=SUBTOTAL(103,B12:B25),'Summary and sign-off'!$A$48,'Summary and sign-off'!$A$49)</f>
        <v>Check - there are no hidden rows with data</v>
      </c>
      <c r="D26" s="152" t="str">
        <f>IF('Summary and sign-off'!F55='Summary and sign-off'!F54,'Summary and sign-off'!A51,'Summary and sign-off'!A50)</f>
        <v>Check - each entry provides sufficient information</v>
      </c>
      <c r="E26" s="152"/>
      <c r="F26" s="17"/>
    </row>
    <row r="27" spans="1:6" ht="10.5" customHeight="1" x14ac:dyDescent="0.2">
      <c r="A27" s="17"/>
      <c r="B27" s="19"/>
      <c r="C27" s="17"/>
      <c r="D27" s="17"/>
      <c r="E27" s="17"/>
      <c r="F27" s="17"/>
    </row>
    <row r="28" spans="1:6" ht="24.75" customHeight="1" x14ac:dyDescent="0.2">
      <c r="A28" s="154" t="s">
        <v>148</v>
      </c>
      <c r="B28" s="154"/>
      <c r="C28" s="154"/>
      <c r="D28" s="154"/>
      <c r="E28" s="154"/>
      <c r="F28" s="29"/>
    </row>
    <row r="29" spans="1:6" ht="32.450000000000003" customHeight="1" x14ac:dyDescent="0.2">
      <c r="A29" s="24" t="s">
        <v>121</v>
      </c>
      <c r="B29" s="24" t="s">
        <v>65</v>
      </c>
      <c r="C29" s="24" t="s">
        <v>149</v>
      </c>
      <c r="D29" s="24" t="s">
        <v>124</v>
      </c>
      <c r="E29" s="24" t="s">
        <v>125</v>
      </c>
      <c r="F29" s="30"/>
    </row>
    <row r="30" spans="1:6" s="127" customFormat="1" ht="16.5" customHeight="1" x14ac:dyDescent="0.2">
      <c r="A30" s="109" t="s">
        <v>150</v>
      </c>
      <c r="B30" s="110">
        <v>274.98</v>
      </c>
      <c r="C30" s="111" t="s">
        <v>151</v>
      </c>
      <c r="D30" s="111" t="s">
        <v>132</v>
      </c>
      <c r="E30" s="112" t="s">
        <v>152</v>
      </c>
      <c r="F30" s="1"/>
    </row>
    <row r="31" spans="1:6" s="127" customFormat="1" ht="15" customHeight="1" x14ac:dyDescent="0.2">
      <c r="A31" s="109" t="s">
        <v>150</v>
      </c>
      <c r="B31" s="110">
        <f>(461.22+678.26)</f>
        <v>1139.48</v>
      </c>
      <c r="C31" s="111" t="s">
        <v>151</v>
      </c>
      <c r="D31" s="111" t="s">
        <v>153</v>
      </c>
      <c r="E31" s="112" t="s">
        <v>154</v>
      </c>
      <c r="F31" s="1"/>
    </row>
    <row r="32" spans="1:6" s="127" customFormat="1" ht="15" customHeight="1" x14ac:dyDescent="0.2">
      <c r="A32" s="109" t="s">
        <v>150</v>
      </c>
      <c r="B32" s="110">
        <f>(31.35+5.07+5.07+19.78+5.07+5.07+8.45+8.45+8.45+8.45+8.45+55.88)</f>
        <v>169.54000000000002</v>
      </c>
      <c r="C32" s="111" t="s">
        <v>151</v>
      </c>
      <c r="D32" s="111" t="s">
        <v>155</v>
      </c>
      <c r="E32" s="112" t="s">
        <v>156</v>
      </c>
      <c r="F32" s="1"/>
    </row>
    <row r="33" spans="1:6" s="125" customFormat="1" ht="19.5" customHeight="1" x14ac:dyDescent="0.2">
      <c r="A33" s="109" t="s">
        <v>157</v>
      </c>
      <c r="B33" s="110">
        <v>0</v>
      </c>
      <c r="C33" s="111" t="s">
        <v>158</v>
      </c>
      <c r="D33" s="111" t="s">
        <v>132</v>
      </c>
      <c r="E33" s="112" t="s">
        <v>159</v>
      </c>
      <c r="F33" s="129"/>
    </row>
    <row r="34" spans="1:6" s="125" customFormat="1" x14ac:dyDescent="0.2">
      <c r="A34" s="109" t="s">
        <v>157</v>
      </c>
      <c r="B34" s="110">
        <v>226</v>
      </c>
      <c r="C34" s="111" t="s">
        <v>158</v>
      </c>
      <c r="D34" s="111" t="s">
        <v>160</v>
      </c>
      <c r="E34" s="112" t="s">
        <v>154</v>
      </c>
      <c r="F34" s="1"/>
    </row>
    <row r="35" spans="1:6" s="125" customFormat="1" x14ac:dyDescent="0.2">
      <c r="A35" s="109" t="s">
        <v>157</v>
      </c>
      <c r="B35" s="110">
        <f>(52.16+26.24+24.73+52.04)</f>
        <v>155.16999999999999</v>
      </c>
      <c r="C35" s="111" t="s">
        <v>158</v>
      </c>
      <c r="D35" s="111" t="s">
        <v>155</v>
      </c>
      <c r="E35" s="112" t="s">
        <v>156</v>
      </c>
      <c r="F35" s="2"/>
    </row>
    <row r="36" spans="1:6" s="125" customFormat="1" x14ac:dyDescent="0.2">
      <c r="A36" s="109" t="s">
        <v>157</v>
      </c>
      <c r="B36" s="110">
        <v>52.17</v>
      </c>
      <c r="C36" s="111" t="s">
        <v>158</v>
      </c>
      <c r="D36" s="111" t="s">
        <v>161</v>
      </c>
      <c r="E36" s="112" t="s">
        <v>154</v>
      </c>
      <c r="F36" s="1"/>
    </row>
    <row r="37" spans="1:6" s="125" customFormat="1" x14ac:dyDescent="0.2">
      <c r="A37" s="124"/>
      <c r="B37" s="110"/>
      <c r="C37" s="111"/>
      <c r="D37" s="111"/>
      <c r="E37" s="112"/>
      <c r="F37" s="1"/>
    </row>
    <row r="38" spans="1:6" s="125" customFormat="1" x14ac:dyDescent="0.2">
      <c r="A38" s="109" t="s">
        <v>162</v>
      </c>
      <c r="B38" s="110">
        <v>234.5</v>
      </c>
      <c r="C38" s="111" t="s">
        <v>163</v>
      </c>
      <c r="D38" s="111" t="s">
        <v>132</v>
      </c>
      <c r="E38" s="112" t="s">
        <v>159</v>
      </c>
      <c r="F38" s="1"/>
    </row>
    <row r="39" spans="1:6" s="125" customFormat="1" x14ac:dyDescent="0.2">
      <c r="A39" s="109" t="s">
        <v>162</v>
      </c>
      <c r="B39" s="110">
        <v>452.18</v>
      </c>
      <c r="C39" s="111" t="s">
        <v>163</v>
      </c>
      <c r="D39" s="111" t="s">
        <v>164</v>
      </c>
      <c r="E39" s="112" t="s">
        <v>154</v>
      </c>
      <c r="F39" s="1"/>
    </row>
    <row r="40" spans="1:6" s="125" customFormat="1" x14ac:dyDescent="0.2">
      <c r="A40" s="109" t="s">
        <v>162</v>
      </c>
      <c r="B40" s="110">
        <f>(52.27+37.07)</f>
        <v>89.34</v>
      </c>
      <c r="C40" s="111" t="s">
        <v>163</v>
      </c>
      <c r="D40" s="111" t="s">
        <v>155</v>
      </c>
      <c r="E40" s="112" t="s">
        <v>152</v>
      </c>
      <c r="F40" s="133"/>
    </row>
    <row r="41" spans="1:6" s="125" customFormat="1" x14ac:dyDescent="0.2">
      <c r="A41" s="109"/>
      <c r="B41" s="110"/>
      <c r="C41" s="111"/>
      <c r="D41" s="111"/>
      <c r="E41" s="112"/>
      <c r="F41" s="133"/>
    </row>
    <row r="42" spans="1:6" s="125" customFormat="1" x14ac:dyDescent="0.2">
      <c r="A42" s="124">
        <v>45869</v>
      </c>
      <c r="B42" s="110">
        <v>46.62</v>
      </c>
      <c r="C42" s="111" t="s">
        <v>165</v>
      </c>
      <c r="D42" s="111"/>
      <c r="E42" s="112"/>
      <c r="F42" s="133"/>
    </row>
    <row r="43" spans="1:6" s="125" customFormat="1" ht="15.95" customHeight="1" x14ac:dyDescent="0.2">
      <c r="A43" s="124"/>
      <c r="B43" s="110"/>
      <c r="C43" s="111"/>
      <c r="D43" s="111"/>
      <c r="E43" s="112"/>
      <c r="F43" s="134"/>
    </row>
    <row r="44" spans="1:6" s="125" customFormat="1" ht="22.5" customHeight="1" x14ac:dyDescent="0.2">
      <c r="A44" s="124" t="s">
        <v>166</v>
      </c>
      <c r="B44" s="110">
        <v>234.5</v>
      </c>
      <c r="C44" s="111" t="s">
        <v>167</v>
      </c>
      <c r="D44" s="111" t="s">
        <v>132</v>
      </c>
      <c r="E44" s="112" t="s">
        <v>159</v>
      </c>
      <c r="F44" s="135"/>
    </row>
    <row r="45" spans="1:6" s="125" customFormat="1" ht="15.75" customHeight="1" x14ac:dyDescent="0.2">
      <c r="A45" s="124" t="s">
        <v>166</v>
      </c>
      <c r="B45" s="110">
        <v>678.27</v>
      </c>
      <c r="C45" s="125" t="s">
        <v>167</v>
      </c>
      <c r="D45" s="111" t="s">
        <v>143</v>
      </c>
      <c r="E45" s="112" t="s">
        <v>154</v>
      </c>
      <c r="F45" s="1"/>
    </row>
    <row r="46" spans="1:6" s="125" customFormat="1" ht="15.75" customHeight="1" x14ac:dyDescent="0.2">
      <c r="A46" s="124" t="s">
        <v>166</v>
      </c>
      <c r="B46" s="110">
        <v>12.49</v>
      </c>
      <c r="C46" s="125" t="s">
        <v>167</v>
      </c>
      <c r="D46" s="111" t="s">
        <v>168</v>
      </c>
      <c r="E46" s="112" t="s">
        <v>130</v>
      </c>
      <c r="F46" s="1"/>
    </row>
    <row r="47" spans="1:6" s="125" customFormat="1" x14ac:dyDescent="0.2">
      <c r="A47" s="124" t="s">
        <v>166</v>
      </c>
      <c r="B47" s="110">
        <f>(52.72+8.45+31.9+54.32)</f>
        <v>147.38999999999999</v>
      </c>
      <c r="C47" s="111" t="s">
        <v>167</v>
      </c>
      <c r="D47" s="111" t="s">
        <v>146</v>
      </c>
      <c r="E47" s="112" t="s">
        <v>169</v>
      </c>
      <c r="F47" s="1"/>
    </row>
    <row r="48" spans="1:6" s="125" customFormat="1" x14ac:dyDescent="0.2">
      <c r="A48" s="124"/>
      <c r="B48" s="110"/>
      <c r="C48" s="111"/>
      <c r="D48" s="111"/>
      <c r="E48" s="112"/>
      <c r="F48" s="1"/>
    </row>
    <row r="49" spans="1:6" s="125" customFormat="1" x14ac:dyDescent="0.2">
      <c r="A49" s="124" t="s">
        <v>170</v>
      </c>
      <c r="B49" s="110">
        <f>(470.66+119)</f>
        <v>589.66000000000008</v>
      </c>
      <c r="C49" s="111" t="s">
        <v>171</v>
      </c>
      <c r="D49" s="111" t="s">
        <v>172</v>
      </c>
      <c r="E49" s="112" t="s">
        <v>159</v>
      </c>
      <c r="F49" s="1"/>
    </row>
    <row r="50" spans="1:6" s="125" customFormat="1" x14ac:dyDescent="0.2">
      <c r="A50" s="124" t="s">
        <v>170</v>
      </c>
      <c r="B50" s="110">
        <v>461.22</v>
      </c>
      <c r="C50" s="111" t="s">
        <v>171</v>
      </c>
      <c r="D50" s="111" t="s">
        <v>173</v>
      </c>
      <c r="E50" s="112" t="s">
        <v>154</v>
      </c>
      <c r="F50" s="1"/>
    </row>
    <row r="51" spans="1:6" s="125" customFormat="1" x14ac:dyDescent="0.2">
      <c r="A51" s="124" t="s">
        <v>170</v>
      </c>
      <c r="B51" s="110">
        <v>40.869999999999997</v>
      </c>
      <c r="C51" s="111" t="s">
        <v>171</v>
      </c>
      <c r="D51" s="111" t="s">
        <v>161</v>
      </c>
      <c r="E51" s="112" t="s">
        <v>154</v>
      </c>
      <c r="F51" s="1"/>
    </row>
    <row r="52" spans="1:6" s="125" customFormat="1" x14ac:dyDescent="0.2">
      <c r="A52" s="124" t="s">
        <v>170</v>
      </c>
      <c r="B52" s="110">
        <f>(52.03+38.4+24.95+54.43+8.45)</f>
        <v>178.26</v>
      </c>
      <c r="C52" s="111" t="s">
        <v>171</v>
      </c>
      <c r="D52" s="111" t="s">
        <v>146</v>
      </c>
      <c r="E52" s="112" t="s">
        <v>174</v>
      </c>
      <c r="F52" s="1"/>
    </row>
    <row r="53" spans="1:6" s="125" customFormat="1" x14ac:dyDescent="0.2">
      <c r="A53" s="124"/>
      <c r="B53" s="110"/>
      <c r="C53" s="111"/>
      <c r="D53" s="111"/>
      <c r="E53" s="112"/>
      <c r="F53" s="1"/>
    </row>
    <row r="54" spans="1:6" s="125" customFormat="1" x14ac:dyDescent="0.2">
      <c r="A54" s="124">
        <v>45887</v>
      </c>
      <c r="B54" s="110">
        <v>315.45999999999998</v>
      </c>
      <c r="C54" s="111" t="s">
        <v>175</v>
      </c>
      <c r="D54" s="111" t="s">
        <v>132</v>
      </c>
      <c r="E54" s="112" t="s">
        <v>159</v>
      </c>
      <c r="F54" s="1"/>
    </row>
    <row r="55" spans="1:6" s="125" customFormat="1" x14ac:dyDescent="0.2">
      <c r="A55" s="124">
        <v>45887</v>
      </c>
      <c r="B55" s="110">
        <v>59.13</v>
      </c>
      <c r="C55" s="111" t="s">
        <v>176</v>
      </c>
      <c r="D55" s="111" t="s">
        <v>177</v>
      </c>
      <c r="E55" s="112" t="s">
        <v>130</v>
      </c>
      <c r="F55" s="1"/>
    </row>
    <row r="56" spans="1:6" s="125" customFormat="1" x14ac:dyDescent="0.2">
      <c r="A56" s="124">
        <v>46252</v>
      </c>
      <c r="B56" s="110">
        <v>44.43</v>
      </c>
      <c r="C56" s="111" t="s">
        <v>178</v>
      </c>
      <c r="D56" s="111" t="s">
        <v>145</v>
      </c>
      <c r="E56" s="112" t="s">
        <v>154</v>
      </c>
      <c r="F56" s="1"/>
    </row>
    <row r="57" spans="1:6" s="125" customFormat="1" x14ac:dyDescent="0.2">
      <c r="A57" s="124">
        <v>45887</v>
      </c>
      <c r="B57" s="110">
        <v>31.66</v>
      </c>
      <c r="C57" s="111" t="s">
        <v>179</v>
      </c>
      <c r="D57" s="111" t="s">
        <v>180</v>
      </c>
      <c r="E57" s="112" t="s">
        <v>181</v>
      </c>
      <c r="F57" s="1"/>
    </row>
    <row r="58" spans="1:6" s="125" customFormat="1" x14ac:dyDescent="0.2">
      <c r="A58" s="124"/>
      <c r="B58" s="110"/>
      <c r="C58" s="111"/>
      <c r="D58" s="111"/>
      <c r="E58" s="112"/>
      <c r="F58" s="1"/>
    </row>
    <row r="59" spans="1:6" s="125" customFormat="1" x14ac:dyDescent="0.2">
      <c r="A59" s="124" t="s">
        <v>182</v>
      </c>
      <c r="B59" s="110">
        <f>(53.32+53.64)</f>
        <v>106.96000000000001</v>
      </c>
      <c r="C59" s="111" t="s">
        <v>183</v>
      </c>
      <c r="D59" s="111" t="s">
        <v>184</v>
      </c>
      <c r="E59" s="112" t="s">
        <v>185</v>
      </c>
      <c r="F59" s="1"/>
    </row>
    <row r="60" spans="1:6" s="125" customFormat="1" x14ac:dyDescent="0.2">
      <c r="A60" s="109"/>
      <c r="B60" s="110"/>
      <c r="C60" s="111"/>
      <c r="D60" s="111"/>
      <c r="E60" s="112"/>
      <c r="F60" s="1"/>
    </row>
    <row r="61" spans="1:6" s="128" customFormat="1" x14ac:dyDescent="0.2">
      <c r="A61" s="124" t="s">
        <v>186</v>
      </c>
      <c r="B61" s="110">
        <v>435.23</v>
      </c>
      <c r="C61" s="111" t="s">
        <v>187</v>
      </c>
      <c r="D61" s="111" t="s">
        <v>132</v>
      </c>
      <c r="E61" s="112" t="s">
        <v>159</v>
      </c>
      <c r="F61" s="133"/>
    </row>
    <row r="62" spans="1:6" s="128" customFormat="1" x14ac:dyDescent="0.2">
      <c r="A62" s="124" t="s">
        <v>186</v>
      </c>
      <c r="B62" s="110">
        <v>226.09</v>
      </c>
      <c r="C62" s="111" t="s">
        <v>187</v>
      </c>
      <c r="D62" s="111" t="s">
        <v>188</v>
      </c>
      <c r="E62" s="112" t="s">
        <v>154</v>
      </c>
      <c r="F62" s="133"/>
    </row>
    <row r="63" spans="1:6" s="128" customFormat="1" x14ac:dyDescent="0.2">
      <c r="A63" s="124">
        <v>46260</v>
      </c>
      <c r="B63" s="110">
        <v>52.96</v>
      </c>
      <c r="C63" s="111" t="s">
        <v>187</v>
      </c>
      <c r="D63" s="111" t="s">
        <v>168</v>
      </c>
      <c r="E63" s="112" t="s">
        <v>154</v>
      </c>
      <c r="F63" s="133"/>
    </row>
    <row r="64" spans="1:6" s="128" customFormat="1" x14ac:dyDescent="0.2">
      <c r="A64" s="124" t="s">
        <v>186</v>
      </c>
      <c r="B64" s="110">
        <f>(52.38+44.41+53.48)</f>
        <v>150.26999999999998</v>
      </c>
      <c r="C64" s="111" t="s">
        <v>187</v>
      </c>
      <c r="D64" s="111" t="s">
        <v>189</v>
      </c>
      <c r="E64" s="112" t="s">
        <v>174</v>
      </c>
      <c r="F64" s="133"/>
    </row>
    <row r="65" spans="1:6" s="128" customFormat="1" x14ac:dyDescent="0.2">
      <c r="A65" s="124"/>
      <c r="B65" s="110"/>
      <c r="C65" s="111"/>
      <c r="D65" s="111"/>
      <c r="E65" s="112"/>
      <c r="F65" s="133"/>
    </row>
    <row r="66" spans="1:6" s="128" customFormat="1" x14ac:dyDescent="0.2">
      <c r="A66" s="124" t="s">
        <v>443</v>
      </c>
      <c r="B66" s="110">
        <v>67.05</v>
      </c>
      <c r="C66" s="111" t="s">
        <v>165</v>
      </c>
      <c r="D66" s="111"/>
      <c r="E66" s="112"/>
      <c r="F66" s="133"/>
    </row>
    <row r="67" spans="1:6" s="128" customFormat="1" x14ac:dyDescent="0.2">
      <c r="A67" s="124"/>
      <c r="B67" s="110"/>
      <c r="C67" s="111"/>
      <c r="D67" s="111"/>
      <c r="E67" s="112"/>
      <c r="F67" s="133"/>
    </row>
    <row r="68" spans="1:6" s="128" customFormat="1" x14ac:dyDescent="0.2">
      <c r="A68" s="124">
        <v>45905</v>
      </c>
      <c r="B68" s="110">
        <v>490.84</v>
      </c>
      <c r="C68" s="111" t="s">
        <v>190</v>
      </c>
      <c r="D68" s="111" t="s">
        <v>132</v>
      </c>
      <c r="E68" s="112" t="s">
        <v>191</v>
      </c>
      <c r="F68" s="133"/>
    </row>
    <row r="69" spans="1:6" s="128" customFormat="1" x14ac:dyDescent="0.2">
      <c r="A69" s="124">
        <v>45905</v>
      </c>
      <c r="B69" s="110">
        <f>(37.32+50.66)</f>
        <v>87.97999999999999</v>
      </c>
      <c r="C69" s="111" t="s">
        <v>190</v>
      </c>
      <c r="D69" s="111" t="s">
        <v>192</v>
      </c>
      <c r="E69" s="112" t="s">
        <v>193</v>
      </c>
      <c r="F69" s="133"/>
    </row>
    <row r="70" spans="1:6" s="128" customFormat="1" x14ac:dyDescent="0.2">
      <c r="A70" s="109"/>
      <c r="B70" s="110"/>
      <c r="C70" s="111"/>
      <c r="D70" s="111"/>
      <c r="E70" s="112"/>
      <c r="F70" s="133"/>
    </row>
    <row r="71" spans="1:6" s="128" customFormat="1" x14ac:dyDescent="0.2">
      <c r="A71" s="109" t="s">
        <v>194</v>
      </c>
      <c r="B71" s="110">
        <f>(339.93+160.25)</f>
        <v>500.18</v>
      </c>
      <c r="C71" s="111" t="s">
        <v>446</v>
      </c>
      <c r="D71" s="111" t="s">
        <v>132</v>
      </c>
      <c r="E71" s="112" t="s">
        <v>159</v>
      </c>
      <c r="F71" s="133"/>
    </row>
    <row r="72" spans="1:6" s="128" customFormat="1" x14ac:dyDescent="0.2">
      <c r="A72" s="109" t="s">
        <v>194</v>
      </c>
      <c r="B72" s="110">
        <v>678.26</v>
      </c>
      <c r="C72" s="111" t="s">
        <v>446</v>
      </c>
      <c r="D72" s="111" t="s">
        <v>143</v>
      </c>
      <c r="E72" s="112" t="s">
        <v>154</v>
      </c>
      <c r="F72" s="133"/>
    </row>
    <row r="73" spans="1:6" s="128" customFormat="1" x14ac:dyDescent="0.2">
      <c r="A73" s="109" t="s">
        <v>194</v>
      </c>
      <c r="B73" s="110">
        <f>(63+18+16+33+14.69+29.68)</f>
        <v>174.37</v>
      </c>
      <c r="C73" s="111" t="s">
        <v>446</v>
      </c>
      <c r="D73" s="111" t="s">
        <v>195</v>
      </c>
      <c r="E73" s="112" t="s">
        <v>196</v>
      </c>
      <c r="F73" s="133"/>
    </row>
    <row r="74" spans="1:6" s="128" customFormat="1" x14ac:dyDescent="0.2">
      <c r="A74" s="109"/>
      <c r="B74" s="110"/>
      <c r="C74" s="111"/>
      <c r="D74" s="111"/>
      <c r="E74" s="112"/>
      <c r="F74" s="133"/>
    </row>
    <row r="75" spans="1:6" s="128" customFormat="1" x14ac:dyDescent="0.2">
      <c r="A75" s="124">
        <v>45915</v>
      </c>
      <c r="B75" s="110">
        <f>(398.96+125.77)</f>
        <v>524.73</v>
      </c>
      <c r="C75" s="111" t="s">
        <v>197</v>
      </c>
      <c r="D75" s="111" t="s">
        <v>132</v>
      </c>
      <c r="E75" s="112" t="s">
        <v>159</v>
      </c>
      <c r="F75" s="133"/>
    </row>
    <row r="76" spans="1:6" s="128" customFormat="1" ht="14.45" customHeight="1" x14ac:dyDescent="0.2">
      <c r="A76" s="124">
        <v>45915</v>
      </c>
      <c r="B76" s="110">
        <v>59.13</v>
      </c>
      <c r="C76" s="111" t="s">
        <v>197</v>
      </c>
      <c r="D76" s="111" t="s">
        <v>198</v>
      </c>
      <c r="E76" s="112" t="s">
        <v>130</v>
      </c>
      <c r="F76" s="133"/>
    </row>
    <row r="77" spans="1:6" s="128" customFormat="1" ht="13.5" customHeight="1" x14ac:dyDescent="0.2">
      <c r="A77" s="124">
        <v>46280</v>
      </c>
      <c r="B77" s="110">
        <v>51.93</v>
      </c>
      <c r="C77" s="111" t="s">
        <v>197</v>
      </c>
      <c r="D77" s="111" t="s">
        <v>129</v>
      </c>
      <c r="E77" s="112" t="s">
        <v>154</v>
      </c>
      <c r="F77" s="133"/>
    </row>
    <row r="78" spans="1:6" s="128" customFormat="1" x14ac:dyDescent="0.2">
      <c r="A78" s="124">
        <v>45915</v>
      </c>
      <c r="B78" s="110">
        <v>24.42</v>
      </c>
      <c r="C78" s="111" t="s">
        <v>197</v>
      </c>
      <c r="D78" s="111" t="s">
        <v>137</v>
      </c>
      <c r="E78" s="112" t="s">
        <v>196</v>
      </c>
      <c r="F78" s="133"/>
    </row>
    <row r="79" spans="1:6" s="128" customFormat="1" x14ac:dyDescent="0.2">
      <c r="A79" s="109"/>
      <c r="B79" s="110"/>
      <c r="C79" s="111"/>
      <c r="D79" s="111"/>
      <c r="E79" s="112"/>
      <c r="F79" s="133"/>
    </row>
    <row r="80" spans="1:6" s="128" customFormat="1" x14ac:dyDescent="0.2">
      <c r="A80" s="109" t="s">
        <v>199</v>
      </c>
      <c r="B80" s="110">
        <v>352.56</v>
      </c>
      <c r="C80" s="111" t="s">
        <v>200</v>
      </c>
      <c r="D80" s="111" t="s">
        <v>132</v>
      </c>
      <c r="E80" s="112" t="s">
        <v>201</v>
      </c>
      <c r="F80" s="135"/>
    </row>
    <row r="81" spans="1:6" s="128" customFormat="1" x14ac:dyDescent="0.2">
      <c r="A81" s="109" t="s">
        <v>199</v>
      </c>
      <c r="B81" s="110">
        <v>455.9</v>
      </c>
      <c r="C81" s="111" t="s">
        <v>200</v>
      </c>
      <c r="D81" s="111" t="s">
        <v>173</v>
      </c>
      <c r="E81" s="112" t="s">
        <v>154</v>
      </c>
      <c r="F81" s="135"/>
    </row>
    <row r="82" spans="1:6" s="128" customFormat="1" x14ac:dyDescent="0.2">
      <c r="A82" s="109" t="s">
        <v>199</v>
      </c>
      <c r="B82" s="110">
        <v>161.74</v>
      </c>
      <c r="C82" s="111" t="s">
        <v>200</v>
      </c>
      <c r="D82" s="111" t="s">
        <v>202</v>
      </c>
      <c r="E82" s="112" t="s">
        <v>130</v>
      </c>
      <c r="F82" s="135"/>
    </row>
    <row r="83" spans="1:6" s="128" customFormat="1" x14ac:dyDescent="0.2">
      <c r="A83" s="109" t="s">
        <v>199</v>
      </c>
      <c r="B83" s="110">
        <f>(20.81+31.25)</f>
        <v>52.06</v>
      </c>
      <c r="C83" s="111" t="s">
        <v>200</v>
      </c>
      <c r="D83" s="111" t="s">
        <v>192</v>
      </c>
      <c r="E83" s="112" t="s">
        <v>203</v>
      </c>
      <c r="F83" s="135"/>
    </row>
    <row r="84" spans="1:6" s="128" customFormat="1" x14ac:dyDescent="0.2">
      <c r="A84" s="109" t="s">
        <v>199</v>
      </c>
      <c r="B84" s="110">
        <v>40.869999999999997</v>
      </c>
      <c r="C84" s="111" t="s">
        <v>200</v>
      </c>
      <c r="D84" s="111" t="s">
        <v>161</v>
      </c>
      <c r="E84" s="112" t="s">
        <v>154</v>
      </c>
      <c r="F84" s="135"/>
    </row>
    <row r="85" spans="1:6" s="128" customFormat="1" x14ac:dyDescent="0.2">
      <c r="A85" s="109"/>
      <c r="B85" s="110"/>
      <c r="C85" s="111"/>
      <c r="D85" s="111"/>
      <c r="E85" s="112"/>
      <c r="F85" s="133"/>
    </row>
    <row r="86" spans="1:6" s="128" customFormat="1" x14ac:dyDescent="0.2">
      <c r="A86" s="109" t="s">
        <v>204</v>
      </c>
      <c r="B86" s="110">
        <v>234.5</v>
      </c>
      <c r="C86" s="111" t="s">
        <v>187</v>
      </c>
      <c r="D86" s="111" t="s">
        <v>132</v>
      </c>
      <c r="E86" s="112" t="s">
        <v>159</v>
      </c>
      <c r="F86" s="133"/>
    </row>
    <row r="87" spans="1:6" s="128" customFormat="1" x14ac:dyDescent="0.2">
      <c r="A87" s="109" t="s">
        <v>204</v>
      </c>
      <c r="B87" s="110">
        <v>226.09</v>
      </c>
      <c r="C87" s="111" t="s">
        <v>187</v>
      </c>
      <c r="D87" s="111" t="s">
        <v>188</v>
      </c>
      <c r="E87" s="112" t="s">
        <v>154</v>
      </c>
      <c r="F87" s="132"/>
    </row>
    <row r="88" spans="1:6" s="128" customFormat="1" x14ac:dyDescent="0.2">
      <c r="A88" s="109" t="s">
        <v>204</v>
      </c>
      <c r="B88" s="110">
        <f>(30.37+29.33)</f>
        <v>59.7</v>
      </c>
      <c r="C88" s="111" t="s">
        <v>187</v>
      </c>
      <c r="D88" s="111" t="s">
        <v>232</v>
      </c>
      <c r="E88" s="112" t="s">
        <v>205</v>
      </c>
      <c r="F88" s="132"/>
    </row>
    <row r="89" spans="1:6" s="128" customFormat="1" x14ac:dyDescent="0.2">
      <c r="A89" s="109" t="s">
        <v>204</v>
      </c>
      <c r="B89" s="110">
        <v>126.09</v>
      </c>
      <c r="C89" s="111" t="s">
        <v>187</v>
      </c>
      <c r="D89" s="111" t="s">
        <v>206</v>
      </c>
      <c r="E89" s="112" t="s">
        <v>130</v>
      </c>
      <c r="F89" s="132"/>
    </row>
    <row r="90" spans="1:6" s="128" customFormat="1" x14ac:dyDescent="0.2">
      <c r="A90" s="109"/>
      <c r="B90" s="110"/>
      <c r="C90" s="111"/>
      <c r="D90" s="111"/>
      <c r="E90" s="112"/>
      <c r="F90" s="132"/>
    </row>
    <row r="91" spans="1:6" s="128" customFormat="1" x14ac:dyDescent="0.2">
      <c r="A91" s="109" t="s">
        <v>442</v>
      </c>
      <c r="B91" s="110">
        <v>50.54</v>
      </c>
      <c r="C91" s="111" t="s">
        <v>165</v>
      </c>
      <c r="D91" s="111"/>
      <c r="E91" s="112"/>
      <c r="F91" s="132"/>
    </row>
    <row r="92" spans="1:6" s="128" customFormat="1" x14ac:dyDescent="0.2">
      <c r="A92" s="109"/>
      <c r="B92" s="110"/>
      <c r="C92" s="111"/>
      <c r="D92" s="111"/>
      <c r="E92" s="112"/>
      <c r="F92" s="132"/>
    </row>
    <row r="93" spans="1:6" s="128" customFormat="1" x14ac:dyDescent="0.2">
      <c r="A93" s="109" t="s">
        <v>207</v>
      </c>
      <c r="B93" s="110">
        <f>(565.98+89.41)</f>
        <v>655.39</v>
      </c>
      <c r="C93" s="111" t="s">
        <v>208</v>
      </c>
      <c r="D93" s="111" t="s">
        <v>132</v>
      </c>
      <c r="E93" s="112" t="s">
        <v>159</v>
      </c>
      <c r="F93" s="136"/>
    </row>
    <row r="94" spans="1:6" s="128" customFormat="1" x14ac:dyDescent="0.2">
      <c r="A94" s="109" t="s">
        <v>207</v>
      </c>
      <c r="B94" s="110">
        <v>230.61</v>
      </c>
      <c r="C94" s="111" t="s">
        <v>209</v>
      </c>
      <c r="D94" s="111" t="s">
        <v>160</v>
      </c>
      <c r="E94" s="112" t="s">
        <v>154</v>
      </c>
      <c r="F94" s="132"/>
    </row>
    <row r="95" spans="1:6" s="128" customFormat="1" x14ac:dyDescent="0.2">
      <c r="A95" s="109" t="s">
        <v>207</v>
      </c>
      <c r="B95" s="110">
        <v>110.43</v>
      </c>
      <c r="C95" s="111" t="s">
        <v>209</v>
      </c>
      <c r="D95" s="111" t="s">
        <v>210</v>
      </c>
      <c r="E95" s="112" t="s">
        <v>130</v>
      </c>
      <c r="F95" s="132"/>
    </row>
    <row r="96" spans="1:6" s="128" customFormat="1" x14ac:dyDescent="0.2">
      <c r="A96" s="109" t="s">
        <v>207</v>
      </c>
      <c r="B96" s="110">
        <f>(42+44)</f>
        <v>86</v>
      </c>
      <c r="C96" s="111" t="s">
        <v>209</v>
      </c>
      <c r="D96" s="111" t="s">
        <v>192</v>
      </c>
      <c r="E96" s="112" t="s">
        <v>211</v>
      </c>
      <c r="F96" s="132"/>
    </row>
    <row r="97" spans="1:6" s="128" customFormat="1" x14ac:dyDescent="0.2">
      <c r="A97" s="124">
        <v>45940</v>
      </c>
      <c r="B97" s="110">
        <f>(524.64+118.94)</f>
        <v>643.57999999999993</v>
      </c>
      <c r="C97" s="111" t="s">
        <v>212</v>
      </c>
      <c r="D97" s="111" t="s">
        <v>132</v>
      </c>
      <c r="E97" s="112" t="s">
        <v>213</v>
      </c>
      <c r="F97" s="132"/>
    </row>
    <row r="98" spans="1:6" s="128" customFormat="1" x14ac:dyDescent="0.2">
      <c r="A98" s="124">
        <v>45940</v>
      </c>
      <c r="B98" s="110">
        <v>91.05</v>
      </c>
      <c r="C98" s="111" t="s">
        <v>212</v>
      </c>
      <c r="D98" s="111" t="s">
        <v>214</v>
      </c>
      <c r="E98" s="112" t="s">
        <v>133</v>
      </c>
      <c r="F98" s="132"/>
    </row>
    <row r="99" spans="1:6" s="128" customFormat="1" x14ac:dyDescent="0.2">
      <c r="A99" s="124">
        <v>45940</v>
      </c>
      <c r="B99" s="110">
        <v>65.22</v>
      </c>
      <c r="C99" s="111" t="s">
        <v>212</v>
      </c>
      <c r="D99" s="111" t="s">
        <v>215</v>
      </c>
      <c r="E99" s="112" t="s">
        <v>130</v>
      </c>
      <c r="F99" s="132"/>
    </row>
    <row r="100" spans="1:6" s="128" customFormat="1" x14ac:dyDescent="0.2">
      <c r="A100" s="109"/>
      <c r="B100" s="110"/>
      <c r="C100" s="111"/>
      <c r="D100" s="111"/>
      <c r="E100" s="112"/>
      <c r="F100" s="132"/>
    </row>
    <row r="101" spans="1:6" s="128" customFormat="1" x14ac:dyDescent="0.2">
      <c r="A101" s="128" t="s">
        <v>216</v>
      </c>
      <c r="B101" s="110">
        <v>405.71</v>
      </c>
      <c r="C101" s="111" t="s">
        <v>217</v>
      </c>
      <c r="D101" s="111" t="s">
        <v>132</v>
      </c>
      <c r="E101" s="112" t="s">
        <v>159</v>
      </c>
      <c r="F101" s="132"/>
    </row>
    <row r="102" spans="1:6" s="128" customFormat="1" x14ac:dyDescent="0.2">
      <c r="A102" s="109" t="s">
        <v>216</v>
      </c>
      <c r="B102" s="110">
        <v>226.09</v>
      </c>
      <c r="C102" s="111" t="s">
        <v>217</v>
      </c>
      <c r="D102" s="111" t="s">
        <v>160</v>
      </c>
      <c r="E102" s="112" t="s">
        <v>154</v>
      </c>
      <c r="F102" s="132"/>
    </row>
    <row r="103" spans="1:6" s="128" customFormat="1" x14ac:dyDescent="0.2">
      <c r="A103" s="109" t="s">
        <v>216</v>
      </c>
      <c r="B103" s="110">
        <f>(46.28+50.08+24.3+29.51)</f>
        <v>150.16999999999999</v>
      </c>
      <c r="C103" s="111" t="s">
        <v>217</v>
      </c>
      <c r="D103" s="111" t="s">
        <v>189</v>
      </c>
      <c r="E103" s="112" t="s">
        <v>205</v>
      </c>
      <c r="F103" s="132"/>
    </row>
    <row r="104" spans="1:6" s="128" customFormat="1" x14ac:dyDescent="0.2">
      <c r="A104" s="124"/>
      <c r="B104" s="110"/>
      <c r="C104" s="111"/>
      <c r="D104" s="111"/>
      <c r="E104" s="112"/>
      <c r="F104" s="132"/>
    </row>
    <row r="105" spans="1:6" s="128" customFormat="1" x14ac:dyDescent="0.2">
      <c r="A105" s="124"/>
      <c r="B105" s="110"/>
      <c r="C105" s="111"/>
      <c r="D105" s="111"/>
      <c r="E105" s="112"/>
      <c r="F105" s="133"/>
    </row>
    <row r="106" spans="1:6" s="128" customFormat="1" x14ac:dyDescent="0.2">
      <c r="A106" s="124" t="s">
        <v>218</v>
      </c>
      <c r="B106" s="110">
        <v>495.96</v>
      </c>
      <c r="C106" s="111" t="s">
        <v>219</v>
      </c>
      <c r="D106" s="111" t="s">
        <v>132</v>
      </c>
      <c r="E106" s="112" t="s">
        <v>159</v>
      </c>
      <c r="F106" s="133"/>
    </row>
    <row r="107" spans="1:6" s="128" customFormat="1" x14ac:dyDescent="0.2">
      <c r="A107" s="124" t="s">
        <v>218</v>
      </c>
      <c r="B107" s="110">
        <v>226.09</v>
      </c>
      <c r="C107" s="111" t="s">
        <v>219</v>
      </c>
      <c r="D107" s="111" t="s">
        <v>160</v>
      </c>
      <c r="E107" s="112" t="s">
        <v>154</v>
      </c>
      <c r="F107" s="133"/>
    </row>
    <row r="108" spans="1:6" s="128" customFormat="1" x14ac:dyDescent="0.2">
      <c r="A108" s="124" t="s">
        <v>218</v>
      </c>
      <c r="B108" s="110">
        <v>40.869999999999997</v>
      </c>
      <c r="C108" s="111" t="s">
        <v>219</v>
      </c>
      <c r="D108" s="111" t="s">
        <v>220</v>
      </c>
      <c r="E108" s="112" t="s">
        <v>154</v>
      </c>
      <c r="F108" s="133"/>
    </row>
    <row r="109" spans="1:6" s="128" customFormat="1" x14ac:dyDescent="0.2">
      <c r="A109" s="124" t="s">
        <v>218</v>
      </c>
      <c r="B109" s="110">
        <f>(41+43+36+38)</f>
        <v>158</v>
      </c>
      <c r="C109" s="111" t="s">
        <v>219</v>
      </c>
      <c r="D109" s="111" t="s">
        <v>221</v>
      </c>
      <c r="E109" s="112" t="s">
        <v>205</v>
      </c>
      <c r="F109" s="133"/>
    </row>
    <row r="110" spans="1:6" s="128" customFormat="1" x14ac:dyDescent="0.2">
      <c r="A110" s="124"/>
      <c r="B110" s="110"/>
      <c r="C110" s="111"/>
      <c r="D110" s="111"/>
      <c r="E110" s="112"/>
      <c r="F110" s="133"/>
    </row>
    <row r="111" spans="1:6" s="128" customFormat="1" x14ac:dyDescent="0.2">
      <c r="A111" s="124">
        <v>45931</v>
      </c>
      <c r="B111" s="110">
        <v>50.68</v>
      </c>
      <c r="C111" s="111" t="s">
        <v>222</v>
      </c>
      <c r="D111" s="111"/>
      <c r="E111" s="112"/>
      <c r="F111" s="133"/>
    </row>
    <row r="112" spans="1:6" s="128" customFormat="1" x14ac:dyDescent="0.2">
      <c r="A112" s="124"/>
      <c r="B112" s="110"/>
      <c r="C112" s="111"/>
      <c r="D112" s="111"/>
      <c r="E112" s="112"/>
      <c r="F112" s="133"/>
    </row>
    <row r="113" spans="1:6" s="128" customFormat="1" x14ac:dyDescent="0.2">
      <c r="A113" s="124">
        <v>45971</v>
      </c>
      <c r="B113" s="110">
        <v>339.93</v>
      </c>
      <c r="C113" s="111" t="s">
        <v>175</v>
      </c>
      <c r="D113" s="111" t="s">
        <v>132</v>
      </c>
      <c r="E113" s="112" t="s">
        <v>159</v>
      </c>
      <c r="F113" s="133"/>
    </row>
    <row r="114" spans="1:6" s="128" customFormat="1" x14ac:dyDescent="0.2">
      <c r="A114" s="124">
        <v>45971</v>
      </c>
      <c r="B114" s="110">
        <v>52.17</v>
      </c>
      <c r="C114" s="111" t="s">
        <v>175</v>
      </c>
      <c r="D114" s="111" t="s">
        <v>198</v>
      </c>
      <c r="E114" s="112" t="s">
        <v>130</v>
      </c>
      <c r="F114" s="133"/>
    </row>
    <row r="115" spans="1:6" s="128" customFormat="1" x14ac:dyDescent="0.2">
      <c r="A115" s="124">
        <v>45971</v>
      </c>
      <c r="B115" s="110">
        <v>37.97</v>
      </c>
      <c r="C115" s="111" t="s">
        <v>175</v>
      </c>
      <c r="D115" s="111" t="s">
        <v>146</v>
      </c>
      <c r="E115" s="112" t="s">
        <v>154</v>
      </c>
      <c r="F115" s="133"/>
    </row>
    <row r="116" spans="1:6" s="128" customFormat="1" x14ac:dyDescent="0.2">
      <c r="A116" s="124"/>
      <c r="B116" s="110"/>
      <c r="C116" s="111"/>
      <c r="D116" s="111"/>
      <c r="E116" s="112"/>
      <c r="F116" s="133"/>
    </row>
    <row r="117" spans="1:6" s="128" customFormat="1" x14ac:dyDescent="0.2">
      <c r="A117" s="124">
        <v>45972</v>
      </c>
      <c r="B117" s="110">
        <v>52</v>
      </c>
      <c r="C117" s="111" t="s">
        <v>223</v>
      </c>
      <c r="D117" s="111" t="s">
        <v>224</v>
      </c>
      <c r="E117" s="112" t="s">
        <v>130</v>
      </c>
      <c r="F117" s="133"/>
    </row>
    <row r="118" spans="1:6" s="128" customFormat="1" x14ac:dyDescent="0.2">
      <c r="A118" s="124"/>
      <c r="B118" s="110"/>
      <c r="C118" s="111"/>
      <c r="D118" s="111"/>
      <c r="E118" s="112"/>
      <c r="F118" s="133"/>
    </row>
    <row r="119" spans="1:6" s="128" customFormat="1" x14ac:dyDescent="0.2">
      <c r="A119" s="124" t="s">
        <v>225</v>
      </c>
      <c r="B119" s="110">
        <v>589.05999999999995</v>
      </c>
      <c r="C119" s="111" t="s">
        <v>226</v>
      </c>
      <c r="D119" s="111" t="s">
        <v>132</v>
      </c>
      <c r="E119" s="112" t="s">
        <v>159</v>
      </c>
      <c r="F119" s="133"/>
    </row>
    <row r="120" spans="1:6" s="128" customFormat="1" x14ac:dyDescent="0.2">
      <c r="A120" s="124" t="s">
        <v>227</v>
      </c>
      <c r="B120" s="110">
        <v>452.17</v>
      </c>
      <c r="C120" s="111" t="s">
        <v>226</v>
      </c>
      <c r="D120" s="111" t="s">
        <v>228</v>
      </c>
      <c r="E120" s="112" t="s">
        <v>154</v>
      </c>
      <c r="F120" s="133"/>
    </row>
    <row r="121" spans="1:6" s="128" customFormat="1" x14ac:dyDescent="0.2">
      <c r="A121" s="124" t="s">
        <v>227</v>
      </c>
      <c r="B121" s="110">
        <f>(17.28+63.12)</f>
        <v>80.400000000000006</v>
      </c>
      <c r="C121" s="111" t="s">
        <v>226</v>
      </c>
      <c r="D121" s="111" t="s">
        <v>146</v>
      </c>
      <c r="E121" s="112" t="s">
        <v>205</v>
      </c>
      <c r="F121" s="133"/>
    </row>
    <row r="122" spans="1:6" s="128" customFormat="1" x14ac:dyDescent="0.2">
      <c r="A122" s="124" t="s">
        <v>229</v>
      </c>
      <c r="B122" s="110">
        <v>57.65</v>
      </c>
      <c r="C122" s="111" t="s">
        <v>226</v>
      </c>
      <c r="D122" s="111" t="s">
        <v>129</v>
      </c>
      <c r="E122" s="112" t="s">
        <v>154</v>
      </c>
      <c r="F122" s="133"/>
    </row>
    <row r="123" spans="1:6" s="128" customFormat="1" x14ac:dyDescent="0.2">
      <c r="A123" s="124"/>
      <c r="B123" s="110"/>
      <c r="C123" s="111"/>
      <c r="D123" s="111"/>
      <c r="E123" s="112"/>
      <c r="F123" s="132"/>
    </row>
    <row r="124" spans="1:6" s="128" customFormat="1" x14ac:dyDescent="0.2">
      <c r="A124" s="124" t="s">
        <v>230</v>
      </c>
      <c r="B124" s="110">
        <v>420.03</v>
      </c>
      <c r="C124" s="111" t="s">
        <v>231</v>
      </c>
      <c r="D124" s="111" t="s">
        <v>132</v>
      </c>
      <c r="E124" s="112" t="s">
        <v>159</v>
      </c>
      <c r="F124" s="132"/>
    </row>
    <row r="125" spans="1:6" s="128" customFormat="1" x14ac:dyDescent="0.2">
      <c r="A125" s="124" t="s">
        <v>230</v>
      </c>
      <c r="B125" s="110">
        <v>226.09</v>
      </c>
      <c r="C125" s="111" t="s">
        <v>231</v>
      </c>
      <c r="D125" s="111" t="s">
        <v>160</v>
      </c>
      <c r="E125" s="112" t="s">
        <v>154</v>
      </c>
      <c r="F125" s="132"/>
    </row>
    <row r="126" spans="1:6" s="128" customFormat="1" x14ac:dyDescent="0.2">
      <c r="A126" s="124" t="s">
        <v>230</v>
      </c>
      <c r="B126" s="110">
        <f>(48.34+51.9+26.57+40.82+40.68)</f>
        <v>208.31</v>
      </c>
      <c r="C126" s="111" t="s">
        <v>231</v>
      </c>
      <c r="D126" s="111" t="s">
        <v>232</v>
      </c>
      <c r="E126" s="112" t="s">
        <v>211</v>
      </c>
      <c r="F126" s="132"/>
    </row>
    <row r="127" spans="1:6" s="128" customFormat="1" x14ac:dyDescent="0.2">
      <c r="A127" s="124"/>
      <c r="B127" s="110"/>
      <c r="C127" s="111"/>
      <c r="D127" s="111"/>
      <c r="E127" s="112"/>
      <c r="F127" s="132"/>
    </row>
    <row r="128" spans="1:6" s="128" customFormat="1" x14ac:dyDescent="0.2">
      <c r="A128" s="124" t="s">
        <v>441</v>
      </c>
      <c r="B128" s="110">
        <v>32.67</v>
      </c>
      <c r="C128" s="111" t="s">
        <v>233</v>
      </c>
      <c r="D128" s="111"/>
      <c r="E128" s="112"/>
      <c r="F128" s="132"/>
    </row>
    <row r="129" spans="1:6" s="128" customFormat="1" x14ac:dyDescent="0.2">
      <c r="A129" s="124"/>
      <c r="B129" s="110"/>
      <c r="C129" s="111"/>
      <c r="D129" s="111"/>
      <c r="E129" s="112"/>
      <c r="F129" s="132"/>
    </row>
    <row r="130" spans="1:6" s="128" customFormat="1" x14ac:dyDescent="0.2">
      <c r="A130" s="124" t="s">
        <v>234</v>
      </c>
      <c r="B130" s="110">
        <f>(349+107+19)</f>
        <v>475</v>
      </c>
      <c r="C130" s="111" t="s">
        <v>235</v>
      </c>
      <c r="D130" s="111" t="s">
        <v>132</v>
      </c>
      <c r="E130" s="112" t="s">
        <v>159</v>
      </c>
      <c r="F130" s="132"/>
    </row>
    <row r="131" spans="1:6" s="128" customFormat="1" x14ac:dyDescent="0.2">
      <c r="A131" s="124" t="s">
        <v>234</v>
      </c>
      <c r="B131" s="110">
        <v>678.27</v>
      </c>
      <c r="C131" s="111" t="s">
        <v>235</v>
      </c>
      <c r="D131" s="111" t="s">
        <v>143</v>
      </c>
      <c r="E131" s="112" t="s">
        <v>154</v>
      </c>
      <c r="F131" s="132"/>
    </row>
    <row r="132" spans="1:6" s="128" customFormat="1" x14ac:dyDescent="0.2">
      <c r="A132" s="124" t="s">
        <v>234</v>
      </c>
      <c r="B132" s="110">
        <v>54.57</v>
      </c>
      <c r="C132" s="111" t="s">
        <v>235</v>
      </c>
      <c r="D132" s="111" t="s">
        <v>129</v>
      </c>
      <c r="E132" s="112" t="s">
        <v>154</v>
      </c>
      <c r="F132" s="132"/>
    </row>
    <row r="133" spans="1:6" s="128" customFormat="1" x14ac:dyDescent="0.2">
      <c r="A133" s="124" t="s">
        <v>234</v>
      </c>
      <c r="B133" s="110">
        <f>(11.05+37.91+62.89)</f>
        <v>111.85</v>
      </c>
      <c r="C133" s="111" t="s">
        <v>235</v>
      </c>
      <c r="D133" s="111" t="s">
        <v>184</v>
      </c>
      <c r="E133" s="112" t="s">
        <v>211</v>
      </c>
      <c r="F133" s="132"/>
    </row>
    <row r="134" spans="1:6" s="128" customFormat="1" x14ac:dyDescent="0.2">
      <c r="A134" s="124"/>
      <c r="B134" s="110"/>
      <c r="C134" s="111"/>
      <c r="D134" s="111"/>
      <c r="E134" s="112"/>
      <c r="F134" s="132"/>
    </row>
    <row r="135" spans="1:6" s="128" customFormat="1" x14ac:dyDescent="0.2">
      <c r="A135" s="124" t="s">
        <v>236</v>
      </c>
      <c r="B135" s="110">
        <v>0</v>
      </c>
      <c r="C135" s="111" t="s">
        <v>217</v>
      </c>
      <c r="D135" s="111" t="s">
        <v>132</v>
      </c>
      <c r="E135" s="112" t="s">
        <v>159</v>
      </c>
      <c r="F135" s="132"/>
    </row>
    <row r="136" spans="1:6" s="128" customFormat="1" x14ac:dyDescent="0.2">
      <c r="A136" s="124" t="s">
        <v>236</v>
      </c>
      <c r="B136" s="110">
        <v>452.18</v>
      </c>
      <c r="C136" s="111" t="s">
        <v>217</v>
      </c>
      <c r="D136" s="111" t="s">
        <v>173</v>
      </c>
      <c r="E136" s="112" t="s">
        <v>154</v>
      </c>
      <c r="F136" s="132"/>
    </row>
    <row r="137" spans="1:6" s="128" customFormat="1" x14ac:dyDescent="0.2">
      <c r="A137" s="124" t="s">
        <v>236</v>
      </c>
      <c r="B137" s="110">
        <f>(34.12+29.24)</f>
        <v>63.36</v>
      </c>
      <c r="C137" s="111" t="s">
        <v>217</v>
      </c>
      <c r="D137" s="111" t="s">
        <v>192</v>
      </c>
      <c r="E137" s="112" t="s">
        <v>211</v>
      </c>
      <c r="F137" s="132"/>
    </row>
    <row r="138" spans="1:6" s="128" customFormat="1" x14ac:dyDescent="0.2">
      <c r="A138" s="124" t="s">
        <v>236</v>
      </c>
      <c r="B138" s="110">
        <v>178.26</v>
      </c>
      <c r="C138" s="111" t="s">
        <v>217</v>
      </c>
      <c r="D138" s="111" t="s">
        <v>237</v>
      </c>
      <c r="E138" s="112" t="s">
        <v>130</v>
      </c>
      <c r="F138" s="132"/>
    </row>
    <row r="139" spans="1:6" s="128" customFormat="1" x14ac:dyDescent="0.2">
      <c r="A139" s="124"/>
      <c r="B139" s="110"/>
      <c r="C139" s="111"/>
      <c r="D139" s="111"/>
      <c r="E139" s="112"/>
      <c r="F139" s="132"/>
    </row>
    <row r="140" spans="1:6" s="128" customFormat="1" x14ac:dyDescent="0.2">
      <c r="A140" s="124" t="s">
        <v>238</v>
      </c>
      <c r="B140" s="110">
        <v>125</v>
      </c>
      <c r="C140" s="111" t="s">
        <v>239</v>
      </c>
      <c r="D140" s="111" t="s">
        <v>240</v>
      </c>
      <c r="E140" s="112" t="s">
        <v>159</v>
      </c>
      <c r="F140" s="132"/>
    </row>
    <row r="141" spans="1:6" s="128" customFormat="1" x14ac:dyDescent="0.2">
      <c r="A141" s="124" t="s">
        <v>238</v>
      </c>
      <c r="B141" s="110">
        <v>226.09</v>
      </c>
      <c r="C141" s="111" t="s">
        <v>239</v>
      </c>
      <c r="D141" s="111" t="s">
        <v>241</v>
      </c>
      <c r="E141" s="112" t="s">
        <v>154</v>
      </c>
      <c r="F141" s="132"/>
    </row>
    <row r="142" spans="1:6" s="128" customFormat="1" x14ac:dyDescent="0.2">
      <c r="A142" s="124" t="s">
        <v>238</v>
      </c>
      <c r="B142" s="110">
        <v>60.39</v>
      </c>
      <c r="C142" s="111" t="s">
        <v>239</v>
      </c>
      <c r="D142" s="111" t="s">
        <v>146</v>
      </c>
      <c r="E142" s="112" t="s">
        <v>203</v>
      </c>
      <c r="F142" s="132"/>
    </row>
    <row r="143" spans="1:6" s="128" customFormat="1" x14ac:dyDescent="0.2">
      <c r="A143" s="124"/>
      <c r="B143" s="110"/>
      <c r="C143" s="111"/>
      <c r="D143" s="111"/>
      <c r="E143" s="112"/>
      <c r="F143" s="132"/>
    </row>
    <row r="144" spans="1:6" s="128" customFormat="1" x14ac:dyDescent="0.2">
      <c r="A144" s="124" t="s">
        <v>440</v>
      </c>
      <c r="B144" s="110">
        <v>23.43</v>
      </c>
      <c r="C144" s="111" t="s">
        <v>242</v>
      </c>
      <c r="D144" s="111"/>
      <c r="E144" s="112"/>
      <c r="F144" s="132"/>
    </row>
    <row r="145" spans="1:6" s="128" customFormat="1" x14ac:dyDescent="0.2">
      <c r="A145" s="124"/>
      <c r="B145" s="110"/>
      <c r="C145" s="111"/>
      <c r="D145" s="111"/>
      <c r="E145" s="112"/>
      <c r="F145" s="132"/>
    </row>
    <row r="146" spans="1:6" s="128" customFormat="1" x14ac:dyDescent="0.2">
      <c r="A146" s="124" t="s">
        <v>243</v>
      </c>
      <c r="B146" s="110">
        <f>(159+46)</f>
        <v>205</v>
      </c>
      <c r="C146" s="111" t="s">
        <v>187</v>
      </c>
      <c r="D146" s="111" t="s">
        <v>132</v>
      </c>
      <c r="E146" s="112" t="s">
        <v>159</v>
      </c>
      <c r="F146" s="132"/>
    </row>
    <row r="147" spans="1:6" s="128" customFormat="1" x14ac:dyDescent="0.2">
      <c r="A147" s="124" t="s">
        <v>243</v>
      </c>
      <c r="B147" s="110">
        <f>(59.05)</f>
        <v>59.05</v>
      </c>
      <c r="C147" s="111" t="s">
        <v>187</v>
      </c>
      <c r="D147" s="111" t="s">
        <v>146</v>
      </c>
      <c r="E147" s="112" t="s">
        <v>203</v>
      </c>
      <c r="F147" s="132"/>
    </row>
    <row r="148" spans="1:6" s="128" customFormat="1" x14ac:dyDescent="0.2">
      <c r="A148" s="124" t="s">
        <v>243</v>
      </c>
      <c r="B148" s="110">
        <v>119.65</v>
      </c>
      <c r="C148" s="111" t="s">
        <v>187</v>
      </c>
      <c r="D148" s="111" t="s">
        <v>168</v>
      </c>
      <c r="E148" s="112" t="s">
        <v>130</v>
      </c>
      <c r="F148" s="132"/>
    </row>
    <row r="149" spans="1:6" s="128" customFormat="1" x14ac:dyDescent="0.2">
      <c r="A149" s="124">
        <v>46042</v>
      </c>
      <c r="B149" s="110">
        <v>226.09</v>
      </c>
      <c r="C149" s="111" t="s">
        <v>187</v>
      </c>
      <c r="D149" s="111" t="s">
        <v>188</v>
      </c>
      <c r="E149" s="112" t="s">
        <v>154</v>
      </c>
      <c r="F149" s="132"/>
    </row>
    <row r="150" spans="1:6" s="128" customFormat="1" x14ac:dyDescent="0.2">
      <c r="A150" s="124">
        <v>46042</v>
      </c>
      <c r="B150" s="110">
        <v>52.17</v>
      </c>
      <c r="C150" s="111" t="s">
        <v>187</v>
      </c>
      <c r="D150" s="111" t="s">
        <v>161</v>
      </c>
      <c r="E150" s="112" t="s">
        <v>154</v>
      </c>
      <c r="F150" s="132"/>
    </row>
    <row r="151" spans="1:6" s="128" customFormat="1" x14ac:dyDescent="0.2">
      <c r="A151" s="124"/>
      <c r="B151" s="110"/>
      <c r="C151" s="111"/>
      <c r="D151" s="111"/>
      <c r="E151" s="112"/>
      <c r="F151" s="132"/>
    </row>
    <row r="152" spans="1:6" s="128" customFormat="1" x14ac:dyDescent="0.2">
      <c r="A152" s="124">
        <v>46049</v>
      </c>
      <c r="B152" s="110">
        <f>(319+46.22)</f>
        <v>365.22</v>
      </c>
      <c r="C152" s="111" t="s">
        <v>187</v>
      </c>
      <c r="D152" s="111" t="s">
        <v>132</v>
      </c>
      <c r="E152" s="112" t="s">
        <v>159</v>
      </c>
      <c r="F152" s="132"/>
    </row>
    <row r="153" spans="1:6" s="128" customFormat="1" x14ac:dyDescent="0.2">
      <c r="A153" s="124">
        <v>46049</v>
      </c>
      <c r="B153" s="110">
        <v>44.25</v>
      </c>
      <c r="C153" s="111" t="s">
        <v>187</v>
      </c>
      <c r="D153" s="111" t="s">
        <v>214</v>
      </c>
      <c r="E153" s="112" t="s">
        <v>154</v>
      </c>
      <c r="F153" s="132"/>
    </row>
    <row r="154" spans="1:6" s="128" customFormat="1" x14ac:dyDescent="0.2">
      <c r="A154" s="124">
        <v>46049</v>
      </c>
      <c r="B154" s="110">
        <v>12.2</v>
      </c>
      <c r="C154" s="111" t="s">
        <v>187</v>
      </c>
      <c r="D154" s="111" t="s">
        <v>244</v>
      </c>
      <c r="E154" s="112" t="s">
        <v>154</v>
      </c>
      <c r="F154" s="132"/>
    </row>
    <row r="155" spans="1:6" s="128" customFormat="1" x14ac:dyDescent="0.2">
      <c r="A155" s="124">
        <v>46049</v>
      </c>
      <c r="B155" s="110">
        <v>59.13</v>
      </c>
      <c r="C155" s="111" t="s">
        <v>187</v>
      </c>
      <c r="D155" s="111" t="s">
        <v>224</v>
      </c>
      <c r="E155" s="112" t="s">
        <v>130</v>
      </c>
      <c r="F155" s="132"/>
    </row>
    <row r="156" spans="1:6" s="128" customFormat="1" x14ac:dyDescent="0.2">
      <c r="A156" s="124"/>
      <c r="B156" s="110"/>
      <c r="C156" s="111"/>
      <c r="D156" s="111"/>
      <c r="E156" s="112"/>
      <c r="F156" s="132"/>
    </row>
    <row r="157" spans="1:6" s="128" customFormat="1" x14ac:dyDescent="0.2">
      <c r="A157" s="124" t="s">
        <v>439</v>
      </c>
      <c r="B157" s="110">
        <v>5.14</v>
      </c>
      <c r="C157" s="111" t="s">
        <v>245</v>
      </c>
      <c r="D157" s="111"/>
      <c r="E157" s="112"/>
      <c r="F157" s="132"/>
    </row>
    <row r="158" spans="1:6" s="128" customFormat="1" x14ac:dyDescent="0.2">
      <c r="A158" s="124"/>
      <c r="B158" s="110"/>
      <c r="C158" s="111"/>
      <c r="D158" s="111"/>
      <c r="E158" s="112"/>
      <c r="F158" s="132"/>
    </row>
    <row r="159" spans="1:6" s="128" customFormat="1" ht="15.75" customHeight="1" x14ac:dyDescent="0.2">
      <c r="A159" s="124" t="s">
        <v>246</v>
      </c>
      <c r="B159" s="110">
        <f>(411.62+25.31)</f>
        <v>436.93</v>
      </c>
      <c r="C159" s="111" t="s">
        <v>187</v>
      </c>
      <c r="D159" s="111" t="s">
        <v>132</v>
      </c>
      <c r="E159" s="112" t="s">
        <v>159</v>
      </c>
      <c r="F159" s="132"/>
    </row>
    <row r="160" spans="1:6" s="128" customFormat="1" ht="15.75" customHeight="1" x14ac:dyDescent="0.2">
      <c r="A160" s="124" t="s">
        <v>246</v>
      </c>
      <c r="B160" s="110">
        <v>452.17</v>
      </c>
      <c r="C160" s="111" t="s">
        <v>187</v>
      </c>
      <c r="D160" s="111" t="s">
        <v>173</v>
      </c>
      <c r="E160" s="112" t="s">
        <v>154</v>
      </c>
      <c r="F160" s="132"/>
    </row>
    <row r="161" spans="1:6" s="128" customFormat="1" ht="15.75" customHeight="1" x14ac:dyDescent="0.2">
      <c r="A161" s="124" t="s">
        <v>246</v>
      </c>
      <c r="B161" s="110">
        <v>52.17</v>
      </c>
      <c r="C161" s="111" t="s">
        <v>187</v>
      </c>
      <c r="D161" s="111" t="s">
        <v>161</v>
      </c>
      <c r="E161" s="112" t="s">
        <v>154</v>
      </c>
      <c r="F161" s="132"/>
    </row>
    <row r="162" spans="1:6" s="128" customFormat="1" x14ac:dyDescent="0.2">
      <c r="A162" s="124" t="s">
        <v>246</v>
      </c>
      <c r="B162" s="110">
        <f>(30+52+65)</f>
        <v>147</v>
      </c>
      <c r="C162" s="111" t="s">
        <v>187</v>
      </c>
      <c r="D162" s="111" t="s">
        <v>232</v>
      </c>
      <c r="E162" s="112" t="s">
        <v>203</v>
      </c>
      <c r="F162" s="132"/>
    </row>
    <row r="163" spans="1:6" s="128" customFormat="1" x14ac:dyDescent="0.2">
      <c r="A163" s="124"/>
      <c r="B163" s="110"/>
      <c r="C163" s="111"/>
      <c r="D163" s="111"/>
      <c r="E163" s="112"/>
      <c r="F163" s="132"/>
    </row>
    <row r="164" spans="1:6" s="128" customFormat="1" x14ac:dyDescent="0.2">
      <c r="A164" s="124" t="s">
        <v>247</v>
      </c>
      <c r="B164" s="110">
        <f>(242.92+425.96)</f>
        <v>668.88</v>
      </c>
      <c r="C164" s="111" t="s">
        <v>197</v>
      </c>
      <c r="D164" s="111" t="s">
        <v>132</v>
      </c>
      <c r="E164" s="112" t="s">
        <v>159</v>
      </c>
      <c r="F164" s="132"/>
    </row>
    <row r="165" spans="1:6" s="128" customFormat="1" x14ac:dyDescent="0.2">
      <c r="A165" s="124" t="s">
        <v>248</v>
      </c>
      <c r="B165" s="110">
        <v>461.22</v>
      </c>
      <c r="C165" s="111" t="s">
        <v>197</v>
      </c>
      <c r="D165" s="111" t="s">
        <v>173</v>
      </c>
      <c r="E165" s="112" t="s">
        <v>154</v>
      </c>
      <c r="F165" s="132"/>
    </row>
    <row r="166" spans="1:6" s="128" customFormat="1" x14ac:dyDescent="0.2">
      <c r="A166" s="124" t="s">
        <v>247</v>
      </c>
      <c r="B166" s="110">
        <f>(52+31)</f>
        <v>83</v>
      </c>
      <c r="C166" s="111" t="s">
        <v>197</v>
      </c>
      <c r="D166" s="111" t="s">
        <v>146</v>
      </c>
      <c r="E166" s="112" t="s">
        <v>205</v>
      </c>
      <c r="F166" s="132"/>
    </row>
    <row r="167" spans="1:6" s="128" customFormat="1" x14ac:dyDescent="0.2">
      <c r="A167" s="124" t="s">
        <v>248</v>
      </c>
      <c r="B167" s="110">
        <v>62.97</v>
      </c>
      <c r="C167" s="111" t="s">
        <v>197</v>
      </c>
      <c r="D167" s="111" t="s">
        <v>129</v>
      </c>
      <c r="E167" s="112" t="s">
        <v>154</v>
      </c>
      <c r="F167" s="132"/>
    </row>
    <row r="168" spans="1:6" s="128" customFormat="1" x14ac:dyDescent="0.2">
      <c r="A168" s="124"/>
      <c r="B168" s="110"/>
      <c r="C168" s="111"/>
      <c r="D168" s="111"/>
      <c r="E168" s="112"/>
      <c r="F168" s="132"/>
    </row>
    <row r="169" spans="1:6" s="128" customFormat="1" x14ac:dyDescent="0.2">
      <c r="A169" s="124">
        <v>46074</v>
      </c>
      <c r="B169" s="110">
        <v>339</v>
      </c>
      <c r="C169" s="111" t="s">
        <v>249</v>
      </c>
      <c r="D169" s="111" t="s">
        <v>250</v>
      </c>
      <c r="E169" s="112" t="s">
        <v>251</v>
      </c>
      <c r="F169" s="132"/>
    </row>
    <row r="170" spans="1:6" s="128" customFormat="1" x14ac:dyDescent="0.2">
      <c r="A170" s="124"/>
      <c r="B170" s="110"/>
      <c r="C170" s="111"/>
      <c r="D170" s="111"/>
      <c r="E170" s="112"/>
      <c r="F170" s="132"/>
    </row>
    <row r="171" spans="1:6" s="128" customFormat="1" x14ac:dyDescent="0.2">
      <c r="A171" s="124" t="s">
        <v>252</v>
      </c>
      <c r="B171" s="110">
        <v>797.09</v>
      </c>
      <c r="C171" s="111" t="s">
        <v>253</v>
      </c>
      <c r="D171" s="111" t="s">
        <v>132</v>
      </c>
      <c r="E171" s="112" t="s">
        <v>254</v>
      </c>
      <c r="F171" s="132"/>
    </row>
    <row r="172" spans="1:6" s="128" customFormat="1" x14ac:dyDescent="0.2">
      <c r="A172" s="124" t="s">
        <v>252</v>
      </c>
      <c r="B172" s="110">
        <v>692</v>
      </c>
      <c r="C172" s="111" t="s">
        <v>253</v>
      </c>
      <c r="D172" s="111" t="s">
        <v>143</v>
      </c>
      <c r="E172" s="112" t="s">
        <v>154</v>
      </c>
      <c r="F172" s="132"/>
    </row>
    <row r="173" spans="1:6" s="128" customFormat="1" x14ac:dyDescent="0.2">
      <c r="A173" s="124" t="s">
        <v>252</v>
      </c>
      <c r="B173" s="110">
        <v>58.98</v>
      </c>
      <c r="C173" s="111" t="s">
        <v>253</v>
      </c>
      <c r="D173" s="111" t="s">
        <v>168</v>
      </c>
      <c r="E173" s="112" t="s">
        <v>154</v>
      </c>
      <c r="F173" s="132"/>
    </row>
    <row r="174" spans="1:6" s="128" customFormat="1" x14ac:dyDescent="0.2">
      <c r="A174" s="124" t="s">
        <v>252</v>
      </c>
      <c r="B174" s="110">
        <f>(62+53+53)</f>
        <v>168</v>
      </c>
      <c r="C174" s="111" t="s">
        <v>253</v>
      </c>
      <c r="D174" s="111" t="s">
        <v>232</v>
      </c>
      <c r="E174" s="112" t="s">
        <v>211</v>
      </c>
      <c r="F174" s="132"/>
    </row>
    <row r="175" spans="1:6" s="128" customFormat="1" x14ac:dyDescent="0.2">
      <c r="A175" s="124"/>
      <c r="B175" s="110"/>
      <c r="C175" s="111"/>
      <c r="D175" s="111"/>
      <c r="E175" s="112"/>
      <c r="F175" s="132"/>
    </row>
    <row r="176" spans="1:6" s="128" customFormat="1" x14ac:dyDescent="0.2">
      <c r="A176" s="124" t="s">
        <v>438</v>
      </c>
      <c r="B176" s="110">
        <v>46.15</v>
      </c>
      <c r="C176" s="111" t="s">
        <v>165</v>
      </c>
      <c r="D176" s="111"/>
      <c r="E176" s="112"/>
      <c r="F176" s="132"/>
    </row>
    <row r="177" spans="1:6" s="128" customFormat="1" x14ac:dyDescent="0.2">
      <c r="A177" s="124"/>
      <c r="B177" s="110">
        <v>218</v>
      </c>
      <c r="C177" s="111" t="s">
        <v>255</v>
      </c>
      <c r="D177" s="111"/>
      <c r="E177" s="112"/>
      <c r="F177" s="132"/>
    </row>
    <row r="178" spans="1:6" s="128" customFormat="1" x14ac:dyDescent="0.2">
      <c r="A178" s="124"/>
      <c r="B178" s="110"/>
      <c r="C178" s="111"/>
      <c r="D178" s="111"/>
      <c r="E178" s="112"/>
      <c r="F178" s="133"/>
    </row>
    <row r="179" spans="1:6" s="128" customFormat="1" x14ac:dyDescent="0.2">
      <c r="A179" s="124" t="s">
        <v>256</v>
      </c>
      <c r="B179" s="110">
        <f>(435.25+89)</f>
        <v>524.25</v>
      </c>
      <c r="C179" s="111" t="s">
        <v>257</v>
      </c>
      <c r="D179" s="111" t="s">
        <v>132</v>
      </c>
      <c r="E179" s="112" t="s">
        <v>254</v>
      </c>
      <c r="F179" s="133"/>
    </row>
    <row r="180" spans="1:6" s="128" customFormat="1" x14ac:dyDescent="0.2">
      <c r="A180" s="124" t="s">
        <v>256</v>
      </c>
      <c r="B180" s="110">
        <v>230.61</v>
      </c>
      <c r="C180" s="111" t="s">
        <v>257</v>
      </c>
      <c r="D180" s="111" t="s">
        <v>160</v>
      </c>
      <c r="E180" s="112" t="s">
        <v>154</v>
      </c>
      <c r="F180" s="132"/>
    </row>
    <row r="181" spans="1:6" s="128" customFormat="1" x14ac:dyDescent="0.2">
      <c r="A181" s="124" t="s">
        <v>256</v>
      </c>
      <c r="B181" s="110">
        <v>24.69</v>
      </c>
      <c r="C181" s="111" t="s">
        <v>257</v>
      </c>
      <c r="D181" s="111" t="s">
        <v>146</v>
      </c>
      <c r="E181" s="112" t="s">
        <v>154</v>
      </c>
      <c r="F181" s="132"/>
    </row>
    <row r="182" spans="1:6" s="128" customFormat="1" x14ac:dyDescent="0.2">
      <c r="A182" s="124" t="s">
        <v>256</v>
      </c>
      <c r="B182" s="110">
        <v>56</v>
      </c>
      <c r="C182" s="111" t="s">
        <v>257</v>
      </c>
      <c r="D182" s="111" t="s">
        <v>168</v>
      </c>
      <c r="E182" s="112" t="s">
        <v>154</v>
      </c>
      <c r="F182" s="132"/>
    </row>
    <row r="183" spans="1:6" s="128" customFormat="1" x14ac:dyDescent="0.2">
      <c r="A183" s="124" t="s">
        <v>256</v>
      </c>
      <c r="B183" s="110">
        <v>126</v>
      </c>
      <c r="C183" s="111" t="s">
        <v>257</v>
      </c>
      <c r="D183" s="111" t="s">
        <v>258</v>
      </c>
      <c r="E183" s="112" t="s">
        <v>130</v>
      </c>
      <c r="F183" s="132"/>
    </row>
    <row r="184" spans="1:6" s="128" customFormat="1" x14ac:dyDescent="0.2">
      <c r="A184" s="124"/>
      <c r="B184" s="110"/>
      <c r="C184" s="111"/>
      <c r="D184" s="111"/>
      <c r="E184" s="112"/>
      <c r="F184" s="132"/>
    </row>
    <row r="185" spans="1:6" s="128" customFormat="1" x14ac:dyDescent="0.2">
      <c r="A185" s="124" t="s">
        <v>259</v>
      </c>
      <c r="B185" s="110">
        <f>+(365.23+266.51+118.94)</f>
        <v>750.68000000000006</v>
      </c>
      <c r="C185" s="111" t="s">
        <v>260</v>
      </c>
      <c r="D185" s="111" t="s">
        <v>132</v>
      </c>
      <c r="E185" s="112" t="s">
        <v>254</v>
      </c>
      <c r="F185" s="132"/>
    </row>
    <row r="186" spans="1:6" s="128" customFormat="1" x14ac:dyDescent="0.2">
      <c r="A186" s="124" t="s">
        <v>259</v>
      </c>
      <c r="B186" s="110">
        <v>452.17</v>
      </c>
      <c r="C186" s="111" t="s">
        <v>260</v>
      </c>
      <c r="D186" s="111" t="s">
        <v>173</v>
      </c>
      <c r="E186" s="112" t="s">
        <v>154</v>
      </c>
      <c r="F186" s="132"/>
    </row>
    <row r="187" spans="1:6" s="128" customFormat="1" x14ac:dyDescent="0.2">
      <c r="A187" s="124" t="s">
        <v>259</v>
      </c>
      <c r="B187" s="110">
        <f>(52.93+29.75+24.82+53.74)</f>
        <v>161.24</v>
      </c>
      <c r="C187" s="111" t="s">
        <v>260</v>
      </c>
      <c r="D187" s="111" t="s">
        <v>146</v>
      </c>
      <c r="E187" s="112" t="s">
        <v>211</v>
      </c>
      <c r="F187" s="132"/>
    </row>
    <row r="188" spans="1:6" s="128" customFormat="1" x14ac:dyDescent="0.2">
      <c r="A188" s="124"/>
      <c r="B188" s="110"/>
      <c r="C188" s="111"/>
      <c r="D188" s="111"/>
      <c r="E188" s="112"/>
      <c r="F188" s="132"/>
    </row>
    <row r="189" spans="1:6" s="128" customFormat="1" x14ac:dyDescent="0.2">
      <c r="A189" s="124" t="s">
        <v>261</v>
      </c>
      <c r="B189" s="110">
        <f>(399+25)</f>
        <v>424</v>
      </c>
      <c r="C189" s="111" t="s">
        <v>197</v>
      </c>
      <c r="D189" s="111" t="s">
        <v>132</v>
      </c>
      <c r="E189" s="112" t="s">
        <v>254</v>
      </c>
      <c r="F189" s="132"/>
    </row>
    <row r="190" spans="1:6" s="128" customFormat="1" x14ac:dyDescent="0.2">
      <c r="A190" s="124" t="s">
        <v>261</v>
      </c>
      <c r="B190" s="110">
        <v>452.17</v>
      </c>
      <c r="C190" s="111" t="s">
        <v>197</v>
      </c>
      <c r="D190" s="111" t="s">
        <v>262</v>
      </c>
      <c r="E190" s="112" t="s">
        <v>154</v>
      </c>
      <c r="F190" s="132"/>
    </row>
    <row r="191" spans="1:6" s="128" customFormat="1" x14ac:dyDescent="0.2">
      <c r="A191" s="124" t="s">
        <v>261</v>
      </c>
      <c r="B191" s="110">
        <f>(26+66)</f>
        <v>92</v>
      </c>
      <c r="C191" s="111" t="s">
        <v>447</v>
      </c>
      <c r="D191" s="111" t="s">
        <v>192</v>
      </c>
      <c r="E191" s="112" t="s">
        <v>445</v>
      </c>
      <c r="F191" s="132"/>
    </row>
    <row r="192" spans="1:6" s="128" customFormat="1" x14ac:dyDescent="0.2">
      <c r="A192" s="124"/>
      <c r="B192" s="110"/>
      <c r="C192" s="111"/>
      <c r="D192" s="111"/>
      <c r="E192" s="112"/>
      <c r="F192" s="132"/>
    </row>
    <row r="193" spans="1:6" s="128" customFormat="1" x14ac:dyDescent="0.2">
      <c r="A193" s="124" t="s">
        <v>263</v>
      </c>
      <c r="B193" s="110">
        <v>261</v>
      </c>
      <c r="C193" s="111" t="s">
        <v>264</v>
      </c>
      <c r="D193" s="111" t="s">
        <v>265</v>
      </c>
      <c r="E193" s="112" t="s">
        <v>213</v>
      </c>
      <c r="F193" s="132"/>
    </row>
    <row r="194" spans="1:6" s="128" customFormat="1" x14ac:dyDescent="0.2">
      <c r="A194" s="124" t="s">
        <v>263</v>
      </c>
      <c r="B194" s="110">
        <v>409</v>
      </c>
      <c r="C194" s="111" t="s">
        <v>264</v>
      </c>
      <c r="D194" s="111" t="s">
        <v>173</v>
      </c>
      <c r="E194" s="112" t="s">
        <v>266</v>
      </c>
      <c r="F194" s="132"/>
    </row>
    <row r="195" spans="1:6" s="128" customFormat="1" x14ac:dyDescent="0.2">
      <c r="A195" s="124" t="s">
        <v>263</v>
      </c>
      <c r="B195" s="110">
        <v>110.43</v>
      </c>
      <c r="C195" s="130" t="s">
        <v>264</v>
      </c>
      <c r="D195" s="111" t="s">
        <v>224</v>
      </c>
      <c r="E195" s="112" t="s">
        <v>130</v>
      </c>
      <c r="F195" s="132"/>
    </row>
    <row r="196" spans="1:6" s="128" customFormat="1" x14ac:dyDescent="0.2">
      <c r="A196" s="124" t="s">
        <v>263</v>
      </c>
      <c r="B196" s="110">
        <f>(10.95+34.98)</f>
        <v>45.929999999999993</v>
      </c>
      <c r="C196" s="128" t="s">
        <v>264</v>
      </c>
      <c r="D196" s="111" t="s">
        <v>146</v>
      </c>
      <c r="E196" s="112" t="s">
        <v>267</v>
      </c>
      <c r="F196" s="137"/>
    </row>
    <row r="197" spans="1:6" s="128" customFormat="1" x14ac:dyDescent="0.2">
      <c r="A197" s="124"/>
      <c r="B197" s="110"/>
      <c r="C197" s="111"/>
      <c r="D197" s="111"/>
      <c r="E197" s="112"/>
      <c r="F197" s="137"/>
    </row>
    <row r="198" spans="1:6" s="128" customFormat="1" x14ac:dyDescent="0.2">
      <c r="A198" s="124" t="s">
        <v>437</v>
      </c>
      <c r="B198" s="110">
        <v>104</v>
      </c>
      <c r="C198" s="111" t="s">
        <v>165</v>
      </c>
      <c r="D198" s="111"/>
      <c r="E198" s="112"/>
      <c r="F198" s="137"/>
    </row>
    <row r="199" spans="1:6" s="128" customFormat="1" x14ac:dyDescent="0.2">
      <c r="A199" s="124"/>
      <c r="B199" s="110"/>
      <c r="C199" s="111"/>
      <c r="D199" s="111"/>
      <c r="E199" s="112"/>
      <c r="F199" s="137"/>
    </row>
    <row r="200" spans="1:6" s="128" customFormat="1" x14ac:dyDescent="0.2">
      <c r="A200" s="124" t="s">
        <v>268</v>
      </c>
      <c r="B200" s="110">
        <f>(234.5+347.5)</f>
        <v>582</v>
      </c>
      <c r="C200" s="111" t="s">
        <v>269</v>
      </c>
      <c r="D200" s="111" t="s">
        <v>270</v>
      </c>
      <c r="E200" s="112" t="s">
        <v>159</v>
      </c>
      <c r="F200" s="132"/>
    </row>
    <row r="201" spans="1:6" s="128" customFormat="1" x14ac:dyDescent="0.2">
      <c r="A201" s="124" t="s">
        <v>268</v>
      </c>
      <c r="B201" s="110">
        <v>452.18</v>
      </c>
      <c r="C201" s="111" t="s">
        <v>269</v>
      </c>
      <c r="D201" s="111" t="s">
        <v>271</v>
      </c>
      <c r="E201" s="112" t="s">
        <v>154</v>
      </c>
      <c r="F201" s="132"/>
    </row>
    <row r="202" spans="1:6" s="128" customFormat="1" x14ac:dyDescent="0.2">
      <c r="A202" s="124" t="s">
        <v>268</v>
      </c>
      <c r="B202" s="110">
        <f>(53.96+23.86+54.83)</f>
        <v>132.64999999999998</v>
      </c>
      <c r="C202" s="111" t="s">
        <v>269</v>
      </c>
      <c r="D202" s="111" t="s">
        <v>272</v>
      </c>
      <c r="E202" s="112" t="s">
        <v>444</v>
      </c>
      <c r="F202" s="132"/>
    </row>
    <row r="203" spans="1:6" s="128" customFormat="1" x14ac:dyDescent="0.2">
      <c r="A203" s="124"/>
      <c r="B203" s="110"/>
      <c r="C203" s="111"/>
      <c r="D203" s="111"/>
      <c r="E203" s="112"/>
      <c r="F203" s="132"/>
    </row>
    <row r="204" spans="1:6" s="128" customFormat="1" ht="25.5" x14ac:dyDescent="0.2">
      <c r="A204" s="124" t="s">
        <v>273</v>
      </c>
      <c r="B204" s="110">
        <v>869.62</v>
      </c>
      <c r="C204" s="111" t="s">
        <v>274</v>
      </c>
      <c r="D204" s="111" t="s">
        <v>275</v>
      </c>
      <c r="E204" s="112" t="s">
        <v>276</v>
      </c>
      <c r="F204" s="132"/>
    </row>
    <row r="205" spans="1:6" s="128" customFormat="1" x14ac:dyDescent="0.2">
      <c r="A205" s="124" t="s">
        <v>277</v>
      </c>
      <c r="B205" s="110">
        <v>226.09</v>
      </c>
      <c r="C205" s="111" t="s">
        <v>274</v>
      </c>
      <c r="D205" s="111" t="s">
        <v>160</v>
      </c>
      <c r="E205" s="112" t="s">
        <v>154</v>
      </c>
      <c r="F205" s="132"/>
    </row>
    <row r="206" spans="1:6" s="128" customFormat="1" x14ac:dyDescent="0.2">
      <c r="A206" s="124" t="s">
        <v>277</v>
      </c>
      <c r="B206" s="110">
        <v>52</v>
      </c>
      <c r="C206" s="111" t="s">
        <v>274</v>
      </c>
      <c r="D206" s="111" t="s">
        <v>146</v>
      </c>
      <c r="E206" s="112"/>
      <c r="F206" s="132"/>
    </row>
    <row r="207" spans="1:6" s="128" customFormat="1" x14ac:dyDescent="0.2">
      <c r="A207" s="124" t="s">
        <v>277</v>
      </c>
      <c r="B207" s="110">
        <v>65.959999999999994</v>
      </c>
      <c r="C207" s="111" t="s">
        <v>274</v>
      </c>
      <c r="D207" s="111" t="s">
        <v>168</v>
      </c>
      <c r="E207" s="112"/>
      <c r="F207" s="132"/>
    </row>
    <row r="208" spans="1:6" s="128" customFormat="1" x14ac:dyDescent="0.2">
      <c r="A208" s="124" t="s">
        <v>278</v>
      </c>
      <c r="B208" s="110">
        <v>919.13</v>
      </c>
      <c r="C208" s="111" t="s">
        <v>448</v>
      </c>
      <c r="D208" s="111" t="s">
        <v>279</v>
      </c>
      <c r="E208" s="112" t="s">
        <v>133</v>
      </c>
      <c r="F208" s="138"/>
    </row>
    <row r="209" spans="1:6" s="128" customFormat="1" x14ac:dyDescent="0.2">
      <c r="A209" s="124" t="s">
        <v>278</v>
      </c>
      <c r="B209" s="110">
        <v>198</v>
      </c>
      <c r="C209" s="111" t="s">
        <v>448</v>
      </c>
      <c r="D209" s="111" t="s">
        <v>280</v>
      </c>
      <c r="E209" s="112" t="s">
        <v>133</v>
      </c>
      <c r="F209" s="138"/>
    </row>
    <row r="210" spans="1:6" s="128" customFormat="1" x14ac:dyDescent="0.2">
      <c r="A210" s="124" t="s">
        <v>278</v>
      </c>
      <c r="B210" s="110">
        <v>38.590000000000003</v>
      </c>
      <c r="C210" s="111" t="s">
        <v>448</v>
      </c>
      <c r="D210" s="111" t="s">
        <v>281</v>
      </c>
      <c r="E210" s="112" t="s">
        <v>133</v>
      </c>
      <c r="F210" s="138"/>
    </row>
    <row r="211" spans="1:6" s="128" customFormat="1" x14ac:dyDescent="0.2">
      <c r="A211" s="124" t="s">
        <v>278</v>
      </c>
      <c r="B211" s="110">
        <f>(21.74+13.04)</f>
        <v>34.78</v>
      </c>
      <c r="C211" s="111" t="s">
        <v>448</v>
      </c>
      <c r="D211" s="111" t="s">
        <v>282</v>
      </c>
      <c r="E211" s="112" t="s">
        <v>133</v>
      </c>
      <c r="F211" s="138"/>
    </row>
    <row r="212" spans="1:6" s="128" customFormat="1" x14ac:dyDescent="0.2">
      <c r="A212" s="124" t="s">
        <v>278</v>
      </c>
      <c r="B212" s="110">
        <v>110.43</v>
      </c>
      <c r="C212" s="111" t="s">
        <v>448</v>
      </c>
      <c r="D212" s="111" t="s">
        <v>282</v>
      </c>
      <c r="E212" s="112" t="s">
        <v>283</v>
      </c>
      <c r="F212" s="138"/>
    </row>
    <row r="213" spans="1:6" s="128" customFormat="1" x14ac:dyDescent="0.2">
      <c r="A213" s="124" t="s">
        <v>284</v>
      </c>
      <c r="B213" s="110">
        <v>452.17</v>
      </c>
      <c r="C213" s="111" t="s">
        <v>285</v>
      </c>
      <c r="D213" s="111" t="s">
        <v>173</v>
      </c>
      <c r="E213" s="112" t="s">
        <v>154</v>
      </c>
      <c r="F213" s="132"/>
    </row>
    <row r="214" spans="1:6" s="128" customFormat="1" x14ac:dyDescent="0.2">
      <c r="A214" s="124" t="s">
        <v>284</v>
      </c>
      <c r="B214" s="110">
        <f>(24.6+56.68)</f>
        <v>81.28</v>
      </c>
      <c r="C214" s="111" t="s">
        <v>285</v>
      </c>
      <c r="D214" s="111" t="s">
        <v>286</v>
      </c>
      <c r="E214" s="112"/>
      <c r="F214" s="132"/>
    </row>
    <row r="215" spans="1:6" s="128" customFormat="1" x14ac:dyDescent="0.2">
      <c r="A215" s="124"/>
      <c r="B215" s="110"/>
      <c r="C215" s="111"/>
      <c r="D215" s="111"/>
      <c r="E215" s="112"/>
      <c r="F215" s="132"/>
    </row>
    <row r="216" spans="1:6" s="128" customFormat="1" x14ac:dyDescent="0.2">
      <c r="A216" s="124" t="s">
        <v>287</v>
      </c>
      <c r="B216" s="110">
        <v>223</v>
      </c>
      <c r="C216" s="111" t="s">
        <v>288</v>
      </c>
      <c r="D216" s="111" t="s">
        <v>289</v>
      </c>
      <c r="E216" s="112" t="s">
        <v>290</v>
      </c>
      <c r="F216" s="132"/>
    </row>
    <row r="217" spans="1:6" s="128" customFormat="1" x14ac:dyDescent="0.2">
      <c r="A217" s="124" t="s">
        <v>287</v>
      </c>
      <c r="B217" s="110">
        <v>461.22</v>
      </c>
      <c r="C217" s="111" t="s">
        <v>288</v>
      </c>
      <c r="D217" s="111" t="s">
        <v>173</v>
      </c>
      <c r="E217" s="112" t="s">
        <v>154</v>
      </c>
      <c r="F217" s="132"/>
    </row>
    <row r="218" spans="1:6" s="128" customFormat="1" x14ac:dyDescent="0.2">
      <c r="A218" s="124" t="s">
        <v>287</v>
      </c>
      <c r="B218" s="110">
        <f>(52.29+25+8.45)</f>
        <v>85.74</v>
      </c>
      <c r="C218" s="111" t="s">
        <v>288</v>
      </c>
      <c r="D218" s="111" t="s">
        <v>272</v>
      </c>
      <c r="E218" s="112"/>
      <c r="F218" s="132"/>
    </row>
    <row r="219" spans="1:6" s="128" customFormat="1" x14ac:dyDescent="0.2">
      <c r="A219" s="124"/>
      <c r="B219" s="110"/>
      <c r="C219" s="111"/>
      <c r="D219" s="111"/>
      <c r="E219" s="112"/>
      <c r="F219" s="132"/>
    </row>
    <row r="220" spans="1:6" s="128" customFormat="1" x14ac:dyDescent="0.2">
      <c r="A220" s="124" t="s">
        <v>291</v>
      </c>
      <c r="B220" s="110">
        <v>38.22</v>
      </c>
      <c r="C220" s="111" t="s">
        <v>292</v>
      </c>
      <c r="D220" s="111" t="s">
        <v>293</v>
      </c>
      <c r="E220" s="112"/>
      <c r="F220" s="132"/>
    </row>
    <row r="221" spans="1:6" s="128" customFormat="1" x14ac:dyDescent="0.2">
      <c r="A221" s="124"/>
      <c r="B221" s="110"/>
      <c r="C221" s="111"/>
      <c r="D221" s="111"/>
      <c r="E221" s="112"/>
      <c r="F221" s="132"/>
    </row>
    <row r="222" spans="1:6" s="128" customFormat="1" x14ac:dyDescent="0.2">
      <c r="A222" s="124" t="s">
        <v>294</v>
      </c>
      <c r="B222" s="110">
        <v>391.37</v>
      </c>
      <c r="C222" s="111" t="s">
        <v>295</v>
      </c>
      <c r="D222" s="111" t="s">
        <v>296</v>
      </c>
      <c r="E222" s="112"/>
      <c r="F222" s="132"/>
    </row>
    <row r="223" spans="1:6" s="128" customFormat="1" x14ac:dyDescent="0.2">
      <c r="A223" s="124" t="s">
        <v>294</v>
      </c>
      <c r="B223" s="110">
        <v>226.09</v>
      </c>
      <c r="C223" s="111" t="s">
        <v>295</v>
      </c>
      <c r="D223" s="111" t="s">
        <v>297</v>
      </c>
      <c r="E223" s="112" t="s">
        <v>154</v>
      </c>
      <c r="F223" s="132"/>
    </row>
    <row r="224" spans="1:6" s="128" customFormat="1" x14ac:dyDescent="0.2">
      <c r="A224" s="124" t="s">
        <v>294</v>
      </c>
      <c r="B224" s="110">
        <f>(52+8+8+27+54)</f>
        <v>149</v>
      </c>
      <c r="C224" s="111" t="s">
        <v>295</v>
      </c>
      <c r="D224" s="111" t="s">
        <v>189</v>
      </c>
      <c r="E224" s="112" t="s">
        <v>203</v>
      </c>
      <c r="F224" s="132"/>
    </row>
    <row r="225" spans="1:6" s="128" customFormat="1" x14ac:dyDescent="0.2">
      <c r="A225" s="124" t="s">
        <v>294</v>
      </c>
      <c r="B225" s="110">
        <v>53.62</v>
      </c>
      <c r="C225" s="111" t="s">
        <v>295</v>
      </c>
      <c r="D225" s="111" t="s">
        <v>145</v>
      </c>
      <c r="E225" s="112" t="s">
        <v>154</v>
      </c>
      <c r="F225" s="132"/>
    </row>
    <row r="226" spans="1:6" s="128" customFormat="1" x14ac:dyDescent="0.2">
      <c r="A226" s="124"/>
      <c r="B226" s="110"/>
      <c r="C226" s="111"/>
      <c r="D226" s="111"/>
      <c r="E226" s="112"/>
      <c r="F226" s="132"/>
    </row>
    <row r="227" spans="1:6" s="128" customFormat="1" x14ac:dyDescent="0.2">
      <c r="A227" s="124" t="s">
        <v>298</v>
      </c>
      <c r="B227" s="110">
        <v>390</v>
      </c>
      <c r="C227" s="111" t="s">
        <v>299</v>
      </c>
      <c r="D227" s="111" t="s">
        <v>300</v>
      </c>
      <c r="E227" s="112" t="s">
        <v>133</v>
      </c>
      <c r="F227" s="132"/>
    </row>
    <row r="228" spans="1:6" s="128" customFormat="1" x14ac:dyDescent="0.2">
      <c r="A228" s="124" t="s">
        <v>298</v>
      </c>
      <c r="B228" s="110">
        <v>55.88</v>
      </c>
      <c r="C228" s="111" t="s">
        <v>299</v>
      </c>
      <c r="D228" s="111" t="s">
        <v>145</v>
      </c>
      <c r="E228" s="112" t="s">
        <v>133</v>
      </c>
      <c r="F228" s="132"/>
    </row>
    <row r="229" spans="1:6" s="128" customFormat="1" x14ac:dyDescent="0.2">
      <c r="A229" s="124"/>
      <c r="B229" s="110"/>
      <c r="C229" s="111"/>
      <c r="D229" s="111"/>
      <c r="E229" s="112"/>
      <c r="F229" s="132"/>
    </row>
    <row r="230" spans="1:6" s="128" customFormat="1" x14ac:dyDescent="0.2">
      <c r="A230" s="109" t="s">
        <v>301</v>
      </c>
      <c r="B230" s="110">
        <v>472.34</v>
      </c>
      <c r="C230" s="111" t="s">
        <v>175</v>
      </c>
      <c r="D230" s="111" t="s">
        <v>132</v>
      </c>
      <c r="E230" s="112" t="s">
        <v>302</v>
      </c>
      <c r="F230" s="132"/>
    </row>
    <row r="231" spans="1:6" s="128" customFormat="1" x14ac:dyDescent="0.2">
      <c r="A231" s="109" t="s">
        <v>301</v>
      </c>
      <c r="B231" s="110">
        <v>226.09</v>
      </c>
      <c r="C231" s="111" t="s">
        <v>175</v>
      </c>
      <c r="D231" s="111" t="s">
        <v>188</v>
      </c>
      <c r="E231" s="112" t="s">
        <v>154</v>
      </c>
      <c r="F231" s="132"/>
    </row>
    <row r="232" spans="1:6" s="128" customFormat="1" x14ac:dyDescent="0.2">
      <c r="A232" s="109" t="s">
        <v>301</v>
      </c>
      <c r="B232" s="110">
        <v>35.65</v>
      </c>
      <c r="C232" s="111" t="s">
        <v>175</v>
      </c>
      <c r="D232" s="111" t="s">
        <v>220</v>
      </c>
      <c r="E232" s="112" t="s">
        <v>154</v>
      </c>
      <c r="F232" s="132"/>
    </row>
    <row r="233" spans="1:6" s="128" customFormat="1" x14ac:dyDescent="0.2">
      <c r="A233" s="109" t="s">
        <v>301</v>
      </c>
      <c r="B233" s="110">
        <f>(8+25+56)</f>
        <v>89</v>
      </c>
      <c r="C233" s="111" t="s">
        <v>175</v>
      </c>
      <c r="D233" s="111" t="s">
        <v>232</v>
      </c>
      <c r="E233" s="112" t="s">
        <v>203</v>
      </c>
      <c r="F233" s="132"/>
    </row>
    <row r="234" spans="1:6" s="128" customFormat="1" x14ac:dyDescent="0.2">
      <c r="A234" s="109"/>
      <c r="B234" s="110"/>
      <c r="C234" s="111"/>
      <c r="D234" s="111"/>
      <c r="E234" s="112"/>
      <c r="F234" s="132"/>
    </row>
    <row r="235" spans="1:6" s="128" customFormat="1" x14ac:dyDescent="0.2">
      <c r="A235" s="109" t="s">
        <v>303</v>
      </c>
      <c r="B235" s="110">
        <f>(322.11+124.42)</f>
        <v>446.53000000000003</v>
      </c>
      <c r="C235" s="111" t="s">
        <v>304</v>
      </c>
      <c r="D235" s="111" t="s">
        <v>240</v>
      </c>
      <c r="E235" s="112" t="s">
        <v>305</v>
      </c>
      <c r="F235" s="132"/>
    </row>
    <row r="236" spans="1:6" s="128" customFormat="1" x14ac:dyDescent="0.2">
      <c r="A236" s="109" t="s">
        <v>303</v>
      </c>
      <c r="B236" s="110">
        <v>381</v>
      </c>
      <c r="C236" s="111" t="s">
        <v>304</v>
      </c>
      <c r="D236" s="111" t="s">
        <v>173</v>
      </c>
      <c r="E236" s="112" t="s">
        <v>306</v>
      </c>
      <c r="F236" s="132"/>
    </row>
    <row r="237" spans="1:6" s="128" customFormat="1" x14ac:dyDescent="0.2">
      <c r="A237" s="109" t="s">
        <v>303</v>
      </c>
      <c r="B237" s="110">
        <f>(55+25)</f>
        <v>80</v>
      </c>
      <c r="C237" s="111" t="s">
        <v>304</v>
      </c>
      <c r="D237" s="111" t="s">
        <v>192</v>
      </c>
      <c r="E237" s="112" t="s">
        <v>307</v>
      </c>
      <c r="F237" s="132"/>
    </row>
    <row r="238" spans="1:6" s="128" customFormat="1" x14ac:dyDescent="0.2">
      <c r="A238" s="109"/>
      <c r="B238" s="110"/>
      <c r="C238" s="111"/>
      <c r="D238" s="111"/>
      <c r="E238" s="112"/>
      <c r="F238" s="132"/>
    </row>
    <row r="239" spans="1:6" s="128" customFormat="1" x14ac:dyDescent="0.2">
      <c r="A239" s="124">
        <v>46170</v>
      </c>
      <c r="B239" s="110">
        <v>265.7</v>
      </c>
      <c r="C239" s="111" t="s">
        <v>308</v>
      </c>
      <c r="D239" s="111" t="s">
        <v>132</v>
      </c>
      <c r="E239" s="112" t="s">
        <v>309</v>
      </c>
      <c r="F239" s="132"/>
    </row>
    <row r="240" spans="1:6" s="128" customFormat="1" x14ac:dyDescent="0.2">
      <c r="A240" s="109" t="s">
        <v>310</v>
      </c>
      <c r="B240" s="110">
        <v>461.22</v>
      </c>
      <c r="C240" s="111" t="s">
        <v>311</v>
      </c>
      <c r="D240" s="111" t="s">
        <v>228</v>
      </c>
      <c r="E240" s="112" t="s">
        <v>154</v>
      </c>
      <c r="F240" s="132"/>
    </row>
    <row r="241" spans="1:6" s="128" customFormat="1" x14ac:dyDescent="0.2">
      <c r="A241" s="109" t="s">
        <v>310</v>
      </c>
      <c r="B241" s="110">
        <f>(54+15+24+21)</f>
        <v>114</v>
      </c>
      <c r="C241" s="111" t="s">
        <v>311</v>
      </c>
      <c r="D241" s="111" t="s">
        <v>312</v>
      </c>
      <c r="E241" s="112" t="s">
        <v>203</v>
      </c>
      <c r="F241" s="132"/>
    </row>
    <row r="242" spans="1:6" s="128" customFormat="1" x14ac:dyDescent="0.2">
      <c r="A242" s="109"/>
      <c r="B242" s="110"/>
      <c r="C242" s="111"/>
      <c r="D242" s="111"/>
      <c r="E242" s="112"/>
      <c r="F242" s="132"/>
    </row>
    <row r="243" spans="1:6" s="128" customFormat="1" x14ac:dyDescent="0.2">
      <c r="A243" s="124" t="s">
        <v>436</v>
      </c>
      <c r="B243" s="110">
        <v>74.38</v>
      </c>
      <c r="C243" s="111" t="s">
        <v>165</v>
      </c>
      <c r="D243" s="111"/>
      <c r="E243" s="112"/>
      <c r="F243" s="132"/>
    </row>
    <row r="244" spans="1:6" s="128" customFormat="1" x14ac:dyDescent="0.2">
      <c r="A244" s="109"/>
      <c r="B244" s="110"/>
      <c r="C244" s="111"/>
      <c r="D244" s="111"/>
      <c r="E244" s="112"/>
      <c r="F244" s="132"/>
    </row>
    <row r="245" spans="1:6" s="128" customFormat="1" x14ac:dyDescent="0.2">
      <c r="A245" s="124" t="s">
        <v>313</v>
      </c>
      <c r="B245" s="110">
        <v>479.08</v>
      </c>
      <c r="C245" s="111" t="s">
        <v>314</v>
      </c>
      <c r="D245" s="111" t="s">
        <v>132</v>
      </c>
      <c r="E245" s="112" t="s">
        <v>159</v>
      </c>
      <c r="F245" s="132"/>
    </row>
    <row r="246" spans="1:6" s="128" customFormat="1" x14ac:dyDescent="0.2">
      <c r="A246" s="124" t="s">
        <v>313</v>
      </c>
      <c r="B246" s="110">
        <v>226</v>
      </c>
      <c r="C246" s="111" t="s">
        <v>314</v>
      </c>
      <c r="D246" s="111" t="s">
        <v>315</v>
      </c>
      <c r="E246" s="112" t="s">
        <v>154</v>
      </c>
      <c r="F246" s="132"/>
    </row>
    <row r="247" spans="1:6" s="128" customFormat="1" x14ac:dyDescent="0.2">
      <c r="A247" s="124" t="s">
        <v>313</v>
      </c>
      <c r="B247" s="110">
        <v>40.869999999999997</v>
      </c>
      <c r="C247" s="111" t="s">
        <v>314</v>
      </c>
      <c r="D247" s="111" t="s">
        <v>220</v>
      </c>
      <c r="E247" s="112" t="s">
        <v>154</v>
      </c>
      <c r="F247" s="132"/>
    </row>
    <row r="248" spans="1:6" s="128" customFormat="1" x14ac:dyDescent="0.2">
      <c r="A248" s="124" t="s">
        <v>313</v>
      </c>
      <c r="B248" s="110">
        <f>(33.9+28.02)</f>
        <v>61.92</v>
      </c>
      <c r="C248" s="111" t="s">
        <v>314</v>
      </c>
      <c r="D248" s="111" t="s">
        <v>192</v>
      </c>
      <c r="E248" s="112" t="s">
        <v>154</v>
      </c>
      <c r="F248" s="132"/>
    </row>
    <row r="249" spans="1:6" s="128" customFormat="1" x14ac:dyDescent="0.2">
      <c r="A249" s="124" t="s">
        <v>313</v>
      </c>
      <c r="B249" s="110">
        <v>126.09</v>
      </c>
      <c r="C249" s="111" t="s">
        <v>314</v>
      </c>
      <c r="D249" s="111" t="s">
        <v>210</v>
      </c>
      <c r="E249" s="112" t="s">
        <v>130</v>
      </c>
      <c r="F249" s="132"/>
    </row>
    <row r="250" spans="1:6" s="128" customFormat="1" x14ac:dyDescent="0.2">
      <c r="A250" s="109"/>
      <c r="B250" s="110"/>
      <c r="C250" s="111"/>
      <c r="D250" s="111"/>
      <c r="E250" s="112"/>
      <c r="F250" s="132"/>
    </row>
    <row r="251" spans="1:6" s="128" customFormat="1" x14ac:dyDescent="0.2">
      <c r="A251" s="109" t="s">
        <v>316</v>
      </c>
      <c r="B251" s="110">
        <v>509.45</v>
      </c>
      <c r="C251" s="111" t="s">
        <v>317</v>
      </c>
      <c r="D251" s="111" t="s">
        <v>132</v>
      </c>
      <c r="E251" s="112" t="s">
        <v>159</v>
      </c>
      <c r="F251" s="132"/>
    </row>
    <row r="252" spans="1:6" s="128" customFormat="1" x14ac:dyDescent="0.2">
      <c r="A252" s="109" t="s">
        <v>316</v>
      </c>
      <c r="B252" s="110">
        <v>452</v>
      </c>
      <c r="C252" s="111" t="s">
        <v>317</v>
      </c>
      <c r="D252" s="111" t="s">
        <v>173</v>
      </c>
      <c r="E252" s="112" t="s">
        <v>154</v>
      </c>
      <c r="F252" s="132"/>
    </row>
    <row r="253" spans="1:6" s="128" customFormat="1" x14ac:dyDescent="0.2">
      <c r="A253" s="109" t="s">
        <v>316</v>
      </c>
      <c r="B253" s="110">
        <f>+(52.26+39.17+16.91+25.41+54.81)</f>
        <v>188.56</v>
      </c>
      <c r="C253" s="111" t="s">
        <v>317</v>
      </c>
      <c r="D253" s="111" t="s">
        <v>189</v>
      </c>
      <c r="E253" s="112" t="s">
        <v>205</v>
      </c>
      <c r="F253" s="132"/>
    </row>
    <row r="254" spans="1:6" s="128" customFormat="1" x14ac:dyDescent="0.2">
      <c r="A254" s="124"/>
      <c r="B254" s="110"/>
      <c r="C254" s="111"/>
      <c r="D254" s="111"/>
      <c r="E254" s="112"/>
      <c r="F254" s="132"/>
    </row>
    <row r="255" spans="1:6" s="128" customFormat="1" x14ac:dyDescent="0.2">
      <c r="A255" s="124" t="s">
        <v>318</v>
      </c>
      <c r="B255" s="110">
        <f>+(408.24+99.54)</f>
        <v>507.78000000000003</v>
      </c>
      <c r="C255" s="111" t="s">
        <v>319</v>
      </c>
      <c r="D255" s="111" t="s">
        <v>132</v>
      </c>
      <c r="E255" s="112" t="s">
        <v>213</v>
      </c>
      <c r="F255" s="132"/>
    </row>
    <row r="256" spans="1:6" s="128" customFormat="1" x14ac:dyDescent="0.2">
      <c r="A256" s="124" t="s">
        <v>318</v>
      </c>
      <c r="B256" s="110">
        <v>339</v>
      </c>
      <c r="C256" s="111" t="s">
        <v>319</v>
      </c>
      <c r="D256" s="111" t="s">
        <v>188</v>
      </c>
      <c r="E256" s="112" t="s">
        <v>133</v>
      </c>
      <c r="F256" s="132"/>
    </row>
    <row r="257" spans="1:6" s="128" customFormat="1" x14ac:dyDescent="0.2">
      <c r="A257" s="124" t="s">
        <v>318</v>
      </c>
      <c r="B257" s="110">
        <f>(30.1+8.45+38.15+34.62)</f>
        <v>111.32</v>
      </c>
      <c r="C257" s="111" t="s">
        <v>319</v>
      </c>
      <c r="D257" s="111" t="s">
        <v>312</v>
      </c>
      <c r="E257" s="112" t="s">
        <v>320</v>
      </c>
      <c r="F257" s="132"/>
    </row>
    <row r="258" spans="1:6" s="128" customFormat="1" x14ac:dyDescent="0.2">
      <c r="A258" s="124" t="s">
        <v>318</v>
      </c>
      <c r="B258" s="110">
        <v>110.43</v>
      </c>
      <c r="C258" s="111" t="s">
        <v>319</v>
      </c>
      <c r="D258" s="111" t="s">
        <v>224</v>
      </c>
      <c r="E258" s="112" t="s">
        <v>130</v>
      </c>
      <c r="F258" s="132"/>
    </row>
    <row r="259" spans="1:6" s="128" customFormat="1" x14ac:dyDescent="0.2">
      <c r="A259" s="124"/>
      <c r="B259" s="110"/>
      <c r="C259" s="111"/>
      <c r="D259" s="111"/>
      <c r="E259" s="112"/>
      <c r="F259" s="132"/>
    </row>
    <row r="260" spans="1:6" s="2" customFormat="1" x14ac:dyDescent="0.2">
      <c r="A260" s="109"/>
      <c r="B260" s="110"/>
      <c r="C260" s="111"/>
      <c r="D260" s="111"/>
      <c r="E260" s="112"/>
      <c r="F260" s="1"/>
    </row>
    <row r="261" spans="1:6" ht="19.5" customHeight="1" x14ac:dyDescent="0.2">
      <c r="A261" s="71" t="s">
        <v>321</v>
      </c>
      <c r="B261" s="72">
        <f>SUM(B30:B260)</f>
        <v>41799.52999999997</v>
      </c>
      <c r="C261" s="120" t="str">
        <f>IF(SUBTOTAL(3,B30:B260)=SUBTOTAL(103,B30:B260),'Summary and sign-off'!$A$48,'Summary and sign-off'!$A$49)</f>
        <v>Check - there are no hidden rows with data</v>
      </c>
      <c r="D261" s="152" t="str">
        <f>IF('Summary and sign-off'!F56='Summary and sign-off'!F54,'Summary and sign-off'!A51,'Summary and sign-off'!A50)</f>
        <v>Not all lines have an entry for "Cost in NZ$" and "Type of expense"</v>
      </c>
      <c r="E261" s="152"/>
      <c r="F261" s="17"/>
    </row>
    <row r="262" spans="1:6" ht="10.5" customHeight="1" x14ac:dyDescent="0.2">
      <c r="A262" s="17"/>
      <c r="B262" s="19"/>
      <c r="C262" s="17"/>
      <c r="D262" s="17"/>
      <c r="E262" s="17"/>
      <c r="F262" s="17"/>
    </row>
    <row r="263" spans="1:6" ht="24.75" customHeight="1" x14ac:dyDescent="0.2">
      <c r="A263" s="154" t="s">
        <v>322</v>
      </c>
      <c r="B263" s="154"/>
      <c r="C263" s="154"/>
      <c r="D263" s="154"/>
      <c r="E263" s="154"/>
      <c r="F263" s="17"/>
    </row>
    <row r="264" spans="1:6" ht="27" customHeight="1" x14ac:dyDescent="0.2">
      <c r="A264" s="24" t="s">
        <v>121</v>
      </c>
      <c r="B264" s="24" t="s">
        <v>65</v>
      </c>
      <c r="C264" s="24" t="s">
        <v>323</v>
      </c>
      <c r="D264" s="24" t="s">
        <v>324</v>
      </c>
      <c r="E264" s="24" t="s">
        <v>125</v>
      </c>
      <c r="F264" s="28"/>
    </row>
    <row r="265" spans="1:6" s="125" customFormat="1" x14ac:dyDescent="0.2">
      <c r="A265" s="124">
        <v>45888</v>
      </c>
      <c r="B265" s="110">
        <f>(8.45+8.45+9.17)</f>
        <v>26.07</v>
      </c>
      <c r="C265" s="111" t="s">
        <v>325</v>
      </c>
      <c r="D265" s="111" t="s">
        <v>326</v>
      </c>
      <c r="E265" s="112" t="s">
        <v>130</v>
      </c>
      <c r="F265" s="132"/>
    </row>
    <row r="266" spans="1:6" s="125" customFormat="1" x14ac:dyDescent="0.2">
      <c r="A266" s="124">
        <v>45906</v>
      </c>
      <c r="B266" s="110">
        <f>(21.94+20.43)</f>
        <v>42.370000000000005</v>
      </c>
      <c r="C266" s="111" t="s">
        <v>327</v>
      </c>
      <c r="D266" s="111" t="s">
        <v>328</v>
      </c>
      <c r="E266" s="112" t="s">
        <v>130</v>
      </c>
      <c r="F266" s="132"/>
    </row>
    <row r="267" spans="1:6" s="125" customFormat="1" x14ac:dyDescent="0.2">
      <c r="A267" s="124">
        <v>45906</v>
      </c>
      <c r="B267" s="110">
        <v>21.94</v>
      </c>
      <c r="C267" s="111" t="s">
        <v>329</v>
      </c>
      <c r="D267" s="111" t="s">
        <v>330</v>
      </c>
      <c r="E267" s="112" t="s">
        <v>130</v>
      </c>
      <c r="F267" s="139"/>
    </row>
    <row r="268" spans="1:6" s="125" customFormat="1" x14ac:dyDescent="0.2">
      <c r="A268" s="124">
        <v>45912</v>
      </c>
      <c r="B268" s="110">
        <v>19.010000000000002</v>
      </c>
      <c r="C268" s="111" t="s">
        <v>331</v>
      </c>
      <c r="D268" s="111" t="s">
        <v>330</v>
      </c>
      <c r="E268" s="112" t="s">
        <v>130</v>
      </c>
      <c r="F268" s="139"/>
    </row>
    <row r="269" spans="1:6" s="125" customFormat="1" x14ac:dyDescent="0.2">
      <c r="A269" s="124">
        <v>45918</v>
      </c>
      <c r="B269" s="110">
        <v>11.7</v>
      </c>
      <c r="C269" s="111" t="s">
        <v>332</v>
      </c>
      <c r="D269" s="111" t="s">
        <v>330</v>
      </c>
      <c r="E269" s="112" t="s">
        <v>130</v>
      </c>
      <c r="F269" s="132"/>
    </row>
    <row r="270" spans="1:6" s="125" customFormat="1" x14ac:dyDescent="0.2">
      <c r="A270" s="124">
        <v>45926</v>
      </c>
      <c r="B270" s="110">
        <v>11.01</v>
      </c>
      <c r="C270" s="111" t="s">
        <v>333</v>
      </c>
      <c r="D270" s="111" t="s">
        <v>330</v>
      </c>
      <c r="E270" s="112" t="s">
        <v>130</v>
      </c>
      <c r="F270" s="132"/>
    </row>
    <row r="271" spans="1:6" s="125" customFormat="1" x14ac:dyDescent="0.2">
      <c r="A271" s="124">
        <v>45952</v>
      </c>
      <c r="B271" s="110">
        <v>15.65</v>
      </c>
      <c r="C271" s="111" t="s">
        <v>334</v>
      </c>
      <c r="D271" s="111" t="s">
        <v>137</v>
      </c>
      <c r="E271" s="112" t="s">
        <v>130</v>
      </c>
      <c r="F271" s="132"/>
    </row>
    <row r="272" spans="1:6" s="125" customFormat="1" x14ac:dyDescent="0.2">
      <c r="A272" s="124">
        <v>45995</v>
      </c>
      <c r="B272" s="110">
        <v>39.04</v>
      </c>
      <c r="C272" s="111" t="s">
        <v>335</v>
      </c>
      <c r="D272" s="111" t="s">
        <v>137</v>
      </c>
      <c r="E272" s="112" t="s">
        <v>130</v>
      </c>
      <c r="F272" s="132"/>
    </row>
    <row r="273" spans="1:6" s="125" customFormat="1" x14ac:dyDescent="0.2">
      <c r="A273" s="124">
        <v>46009</v>
      </c>
      <c r="B273" s="110">
        <v>16.22</v>
      </c>
      <c r="C273" s="111" t="s">
        <v>336</v>
      </c>
      <c r="D273" s="111" t="s">
        <v>282</v>
      </c>
      <c r="E273" s="112" t="s">
        <v>130</v>
      </c>
      <c r="F273" s="132"/>
    </row>
    <row r="274" spans="1:6" s="125" customFormat="1" x14ac:dyDescent="0.2">
      <c r="A274" s="124">
        <v>46062</v>
      </c>
      <c r="B274" s="110">
        <f>(8+14)</f>
        <v>22</v>
      </c>
      <c r="C274" s="111" t="s">
        <v>337</v>
      </c>
      <c r="D274" s="111" t="s">
        <v>192</v>
      </c>
      <c r="E274" s="112" t="s">
        <v>130</v>
      </c>
      <c r="F274" s="140"/>
    </row>
    <row r="275" spans="1:6" s="125" customFormat="1" x14ac:dyDescent="0.2">
      <c r="A275" s="124">
        <v>46069</v>
      </c>
      <c r="B275" s="110">
        <f>(10+15+8+8)</f>
        <v>41</v>
      </c>
      <c r="C275" s="111" t="s">
        <v>338</v>
      </c>
      <c r="D275" s="111" t="s">
        <v>339</v>
      </c>
      <c r="E275" s="112" t="s">
        <v>130</v>
      </c>
      <c r="F275" s="140"/>
    </row>
    <row r="276" spans="1:6" s="125" customFormat="1" x14ac:dyDescent="0.2">
      <c r="A276" s="124">
        <v>46086</v>
      </c>
      <c r="B276" s="110">
        <v>48</v>
      </c>
      <c r="C276" s="111" t="s">
        <v>340</v>
      </c>
      <c r="D276" s="111" t="s">
        <v>282</v>
      </c>
      <c r="E276" s="112" t="s">
        <v>130</v>
      </c>
      <c r="F276" s="140"/>
    </row>
    <row r="277" spans="1:6" s="125" customFormat="1" x14ac:dyDescent="0.2">
      <c r="A277" s="124">
        <v>46088</v>
      </c>
      <c r="B277" s="110">
        <v>30</v>
      </c>
      <c r="C277" s="111" t="s">
        <v>341</v>
      </c>
      <c r="D277" s="111" t="s">
        <v>137</v>
      </c>
      <c r="E277" s="112" t="s">
        <v>130</v>
      </c>
      <c r="F277" s="1"/>
    </row>
    <row r="278" spans="1:6" s="125" customFormat="1" x14ac:dyDescent="0.2">
      <c r="A278" s="124">
        <v>46107</v>
      </c>
      <c r="B278" s="110">
        <f>+(15+9)</f>
        <v>24</v>
      </c>
      <c r="C278" s="111" t="s">
        <v>342</v>
      </c>
      <c r="D278" s="111" t="s">
        <v>328</v>
      </c>
      <c r="E278" s="112" t="s">
        <v>130</v>
      </c>
      <c r="F278" s="1"/>
    </row>
    <row r="279" spans="1:6" s="125" customFormat="1" x14ac:dyDescent="0.2">
      <c r="A279" s="124">
        <v>46143</v>
      </c>
      <c r="B279" s="110">
        <v>16.22</v>
      </c>
      <c r="C279" s="111" t="s">
        <v>343</v>
      </c>
      <c r="D279" s="111" t="s">
        <v>282</v>
      </c>
      <c r="E279" s="112" t="s">
        <v>130</v>
      </c>
      <c r="F279" s="1"/>
    </row>
    <row r="280" spans="1:6" s="125" customFormat="1" x14ac:dyDescent="0.2">
      <c r="A280" s="124">
        <v>46160</v>
      </c>
      <c r="B280" s="110">
        <v>21.39</v>
      </c>
      <c r="C280" s="111" t="s">
        <v>344</v>
      </c>
      <c r="D280" s="111" t="s">
        <v>282</v>
      </c>
      <c r="E280" s="112" t="s">
        <v>130</v>
      </c>
      <c r="F280" s="1"/>
    </row>
    <row r="281" spans="1:6" s="125" customFormat="1" x14ac:dyDescent="0.2">
      <c r="A281" s="124">
        <v>46161</v>
      </c>
      <c r="B281" s="110">
        <v>9.3000000000000007</v>
      </c>
      <c r="C281" s="111" t="s">
        <v>344</v>
      </c>
      <c r="D281" s="111" t="s">
        <v>137</v>
      </c>
      <c r="E281" s="112" t="s">
        <v>130</v>
      </c>
      <c r="F281" s="1"/>
    </row>
    <row r="282" spans="1:6" s="125" customFormat="1" x14ac:dyDescent="0.2">
      <c r="A282" s="124">
        <v>46162</v>
      </c>
      <c r="B282" s="110">
        <f>(9+11+12)</f>
        <v>32</v>
      </c>
      <c r="C282" s="111" t="s">
        <v>345</v>
      </c>
      <c r="D282" s="111" t="s">
        <v>346</v>
      </c>
      <c r="E282" s="112" t="s">
        <v>130</v>
      </c>
      <c r="F282" s="1"/>
    </row>
    <row r="283" spans="1:6" s="125" customFormat="1" x14ac:dyDescent="0.2">
      <c r="A283" s="124">
        <v>46163</v>
      </c>
      <c r="B283" s="110">
        <f>(8.45+8.45)</f>
        <v>16.899999999999999</v>
      </c>
      <c r="C283" s="111" t="s">
        <v>347</v>
      </c>
      <c r="D283" s="111" t="s">
        <v>328</v>
      </c>
      <c r="E283" s="112" t="s">
        <v>130</v>
      </c>
      <c r="F283" s="1"/>
    </row>
    <row r="284" spans="1:6" s="125" customFormat="1" x14ac:dyDescent="0.2">
      <c r="A284" s="124">
        <v>46164</v>
      </c>
      <c r="B284" s="110">
        <v>11</v>
      </c>
      <c r="C284" s="111" t="s">
        <v>348</v>
      </c>
      <c r="D284" s="111" t="s">
        <v>137</v>
      </c>
      <c r="E284" s="112" t="s">
        <v>130</v>
      </c>
      <c r="F284" s="1"/>
    </row>
    <row r="285" spans="1:6" s="125" customFormat="1" x14ac:dyDescent="0.2">
      <c r="A285" s="124">
        <v>46180</v>
      </c>
      <c r="B285" s="110">
        <v>21.43</v>
      </c>
      <c r="C285" s="111" t="s">
        <v>349</v>
      </c>
      <c r="D285" s="111" t="s">
        <v>282</v>
      </c>
      <c r="E285" s="112" t="s">
        <v>130</v>
      </c>
      <c r="F285" s="1"/>
    </row>
    <row r="286" spans="1:6" s="125" customFormat="1" x14ac:dyDescent="0.2">
      <c r="A286" s="124">
        <v>46180</v>
      </c>
      <c r="B286" s="110">
        <f>(8.45+8.45)</f>
        <v>16.899999999999999</v>
      </c>
      <c r="C286" s="111" t="s">
        <v>350</v>
      </c>
      <c r="D286" s="111" t="s">
        <v>328</v>
      </c>
      <c r="E286" s="112" t="s">
        <v>130</v>
      </c>
      <c r="F286" s="1"/>
    </row>
    <row r="287" spans="1:6" s="125" customFormat="1" x14ac:dyDescent="0.2">
      <c r="A287" s="124">
        <v>46181</v>
      </c>
      <c r="B287" s="110">
        <f>(8.45+8.45+8.45)</f>
        <v>25.349999999999998</v>
      </c>
      <c r="C287" s="111" t="s">
        <v>351</v>
      </c>
      <c r="D287" s="111" t="s">
        <v>352</v>
      </c>
      <c r="E287" s="112" t="s">
        <v>130</v>
      </c>
      <c r="F287" s="1"/>
    </row>
    <row r="288" spans="1:6" s="125" customFormat="1" x14ac:dyDescent="0.2">
      <c r="A288" s="124">
        <v>46182</v>
      </c>
      <c r="B288" s="110">
        <f>(8.45+8.45+8.45)</f>
        <v>25.349999999999998</v>
      </c>
      <c r="C288" s="111" t="s">
        <v>353</v>
      </c>
      <c r="D288" s="111" t="s">
        <v>352</v>
      </c>
      <c r="E288" s="112" t="s">
        <v>130</v>
      </c>
      <c r="F288" s="1"/>
    </row>
    <row r="289" spans="1:6" s="2" customFormat="1" x14ac:dyDescent="0.2">
      <c r="A289" s="124"/>
      <c r="B289" s="110"/>
      <c r="C289" s="111"/>
      <c r="D289" s="111"/>
      <c r="E289" s="112"/>
      <c r="F289" s="1"/>
    </row>
    <row r="290" spans="1:6" s="2" customFormat="1" x14ac:dyDescent="0.2">
      <c r="A290" s="94"/>
      <c r="B290" s="95"/>
      <c r="C290" s="96"/>
      <c r="D290" s="96"/>
      <c r="E290" s="97"/>
      <c r="F290" s="1"/>
    </row>
    <row r="291" spans="1:6" ht="19.5" customHeight="1" x14ac:dyDescent="0.2">
      <c r="A291" s="71" t="s">
        <v>354</v>
      </c>
      <c r="B291" s="72">
        <f>SUM(B265:B290)</f>
        <v>563.85</v>
      </c>
      <c r="C291" s="120" t="str">
        <f>IF(SUBTOTAL(3,B265:B290)=SUBTOTAL(103,B265:B290),'Summary and sign-off'!$A$48,'Summary and sign-off'!$A$49)</f>
        <v>Check - there are no hidden rows with data</v>
      </c>
      <c r="D291" s="152" t="str">
        <f>IF('Summary and sign-off'!F57='Summary and sign-off'!F54,'Summary and sign-off'!A51,'Summary and sign-off'!A50)</f>
        <v>Check - each entry provides sufficient information</v>
      </c>
      <c r="E291" s="152"/>
      <c r="F291" s="17"/>
    </row>
    <row r="292" spans="1:6" ht="10.5" customHeight="1" x14ac:dyDescent="0.2">
      <c r="A292" s="17"/>
      <c r="B292" s="57"/>
      <c r="C292" s="19"/>
      <c r="D292" s="17"/>
      <c r="E292" s="17"/>
      <c r="F292" s="17"/>
    </row>
    <row r="293" spans="1:6" ht="34.5" customHeight="1" x14ac:dyDescent="0.2">
      <c r="A293" s="31" t="s">
        <v>355</v>
      </c>
      <c r="B293" s="58">
        <f>B26+B261+B291</f>
        <v>49677.659999999967</v>
      </c>
      <c r="C293" s="32"/>
      <c r="D293" s="32"/>
      <c r="E293" s="32"/>
      <c r="F293" s="17"/>
    </row>
    <row r="294" spans="1:6" x14ac:dyDescent="0.2">
      <c r="A294" s="17"/>
      <c r="B294" s="19"/>
      <c r="C294" s="17"/>
      <c r="D294" s="17"/>
      <c r="E294" s="17"/>
      <c r="F294" s="17"/>
    </row>
    <row r="295" spans="1:6" x14ac:dyDescent="0.2">
      <c r="A295" s="18" t="s">
        <v>76</v>
      </c>
      <c r="B295" s="19"/>
      <c r="C295" s="17"/>
      <c r="D295" s="17"/>
      <c r="E295" s="17"/>
      <c r="F295" s="17"/>
    </row>
    <row r="296" spans="1:6" ht="12.75" customHeight="1" x14ac:dyDescent="0.2">
      <c r="A296" s="20" t="s">
        <v>356</v>
      </c>
      <c r="F296" s="17"/>
    </row>
    <row r="297" spans="1:6" ht="12.95" customHeight="1" x14ac:dyDescent="0.2">
      <c r="A297" s="20" t="s">
        <v>357</v>
      </c>
      <c r="B297" s="17"/>
      <c r="D297" s="17"/>
      <c r="F297" s="17"/>
    </row>
    <row r="298" spans="1:6" x14ac:dyDescent="0.2">
      <c r="A298" s="20" t="s">
        <v>358</v>
      </c>
      <c r="F298" s="17"/>
    </row>
    <row r="299" spans="1:6" x14ac:dyDescent="0.2">
      <c r="A299" s="20" t="s">
        <v>82</v>
      </c>
      <c r="B299" s="19"/>
      <c r="C299" s="17"/>
      <c r="D299" s="17"/>
      <c r="E299" s="17"/>
      <c r="F299" s="17"/>
    </row>
    <row r="300" spans="1:6" ht="12.95" customHeight="1" x14ac:dyDescent="0.2">
      <c r="A300" s="20" t="s">
        <v>359</v>
      </c>
      <c r="B300" s="17"/>
      <c r="D300" s="17"/>
      <c r="F300" s="17"/>
    </row>
    <row r="301" spans="1:6" x14ac:dyDescent="0.2">
      <c r="A301" s="20" t="s">
        <v>360</v>
      </c>
      <c r="F301" s="17"/>
    </row>
    <row r="302" spans="1:6" x14ac:dyDescent="0.2">
      <c r="A302" s="20" t="s">
        <v>361</v>
      </c>
      <c r="B302" s="20"/>
      <c r="C302" s="20"/>
      <c r="D302" s="20"/>
      <c r="F302" s="17"/>
    </row>
    <row r="303" spans="1:6" x14ac:dyDescent="0.2">
      <c r="A303" s="26"/>
      <c r="B303" s="17"/>
      <c r="C303" s="17"/>
      <c r="D303" s="17"/>
      <c r="E303" s="17"/>
      <c r="F303" s="17"/>
    </row>
    <row r="304" spans="1:6" x14ac:dyDescent="0.2">
      <c r="A304" s="26"/>
      <c r="B304" s="17"/>
      <c r="C304" s="17"/>
      <c r="D304" s="17"/>
      <c r="E304" s="17"/>
      <c r="F304" s="17"/>
    </row>
    <row r="309" spans="1:6" ht="12.75" customHeight="1" x14ac:dyDescent="0.2"/>
    <row r="312" spans="1:6" x14ac:dyDescent="0.2">
      <c r="A312" s="26"/>
      <c r="B312" s="17"/>
      <c r="C312" s="17"/>
      <c r="D312" s="17"/>
      <c r="E312" s="17"/>
      <c r="F312" s="17"/>
    </row>
    <row r="313" spans="1:6" x14ac:dyDescent="0.2">
      <c r="A313" s="26"/>
      <c r="B313" s="17"/>
      <c r="C313" s="17"/>
      <c r="D313" s="17"/>
      <c r="E313" s="17"/>
      <c r="F313" s="17"/>
    </row>
    <row r="314" spans="1:6" x14ac:dyDescent="0.2">
      <c r="A314" s="26"/>
      <c r="B314" s="17"/>
      <c r="C314" s="17"/>
      <c r="D314" s="17"/>
      <c r="E314" s="17"/>
      <c r="F314" s="17"/>
    </row>
    <row r="315" spans="1:6" x14ac:dyDescent="0.2">
      <c r="A315" s="26"/>
      <c r="B315" s="17"/>
      <c r="C315" s="17"/>
      <c r="D315" s="17"/>
      <c r="E315" s="17"/>
      <c r="F315" s="17"/>
    </row>
    <row r="316" spans="1:6" x14ac:dyDescent="0.2">
      <c r="A316" s="26"/>
      <c r="B316" s="17"/>
      <c r="C316" s="17"/>
      <c r="D316" s="17"/>
      <c r="E316" s="17"/>
      <c r="F316" s="17"/>
    </row>
  </sheetData>
  <sheetProtection sheet="1" formatCells="0" formatRows="0" insertColumns="0" insertRows="0" deleteRows="0"/>
  <mergeCells count="15">
    <mergeCell ref="B7:E7"/>
    <mergeCell ref="B5:E5"/>
    <mergeCell ref="D291:E291"/>
    <mergeCell ref="A1:E1"/>
    <mergeCell ref="A28:E28"/>
    <mergeCell ref="A263:E263"/>
    <mergeCell ref="B2:E2"/>
    <mergeCell ref="B3:E3"/>
    <mergeCell ref="B4:E4"/>
    <mergeCell ref="A8:E8"/>
    <mergeCell ref="A9:E9"/>
    <mergeCell ref="B6:E6"/>
    <mergeCell ref="D26:E26"/>
    <mergeCell ref="D261:E261"/>
    <mergeCell ref="A10:E10"/>
  </mergeCells>
  <phoneticPr fontId="41" type="noConversion"/>
  <dataValidations xWindow="236" yWindow="1096" count="3">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30 A260 A290 A12:A24" xr:uid="{00000000-0002-0000-0200-000000000000}">
      <formula1>$B$4</formula1>
      <formula2>$B$5</formula2>
    </dataValidation>
    <dataValidation allowBlank="1" showInputMessage="1" showErrorMessage="1" prompt="Insert additional rows as needed:_x000a_- 'right click' on a row number (left of screen)_x000a_- select 'Insert' (this will insert a row above it)" sqref="A264 A29 A11" xr:uid="{00000000-0002-0000-0200-000001000000}"/>
    <dataValidation type="date" errorStyle="warning" allowBlank="1" showInputMessage="1" showErrorMessage="1" error="This date may be outside the timeframe indicated (eg 2018/19 year)" prompt="Any non-standard date format or date outside the disclosure period (typically 1 July - 30 June) will raise an alert. Check entry and select 'Yes' to accept/continue." sqref="A265:A289 A102:A259 A47:A100 A25 A31:A44" xr:uid="{67A21C94-90C0-4AFE-B6AC-F64AD77E4F2B}">
      <formula1>$B$4</formula1>
      <formula2>$B$5</formula2>
    </dataValidation>
  </dataValidations>
  <pageMargins left="0.70866141732283472" right="0.70866141732283472" top="0.74803149606299213" bottom="0.74803149606299213" header="0.31496062992125984" footer="0.31496062992125984"/>
  <pageSetup paperSize="9" scale="69" fitToHeight="0" orientation="landscape" r:id="rId1"/>
  <headerFooter alignWithMargins="0">
    <oddFooter>&amp;LCE Expense Disclosure Workbook 2018&amp;RWorksheet - Travel</oddFooter>
  </headerFooter>
  <legacyDrawing r:id="rId2"/>
  <extLst>
    <ext xmlns:x14="http://schemas.microsoft.com/office/spreadsheetml/2009/9/main" uri="{CCE6A557-97BC-4b89-ADB6-D9C93CAAB3DF}">
      <x14:dataValidations xmlns:xm="http://schemas.microsoft.com/office/excel/2006/main" xWindow="236" yWindow="1096" count="3">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r:uid="{00000000-0002-0000-0200-000002000000}">
          <x14:formula1>
            <xm:f>'Summary and sign-off'!$A$27:$A$28</xm:f>
          </x14:formula1>
          <xm:sqref>B6:E6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r:uid="{00000000-0002-0000-0200-000003000000}">
          <x14:formula1>
            <xm:f>'Summary and sign-off'!$A$29:$A$30</xm:f>
          </x14:formula1>
          <xm:sqref>B7:E7</xm:sqref>
        </x14:dataValidation>
        <x14:dataValidation type="decimal" operator="greaterThan" allowBlank="1" showInputMessage="1" showErrorMessage="1" error="This cell must contain a dollar figure" xr:uid="{00000000-0002-0000-0200-000004000000}">
          <x14:formula1>
            <xm:f>'Summary and sign-off'!$A$47</xm:f>
          </x14:formula1>
          <xm:sqref>B265:B290 B12:B25 B30:B260</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3" tint="0.39997558519241921"/>
    <pageSetUpPr fitToPage="1"/>
  </sheetPr>
  <dimension ref="A1:J38"/>
  <sheetViews>
    <sheetView topLeftCell="A2" zoomScaleNormal="100" workbookViewId="0">
      <selection activeCell="C37" sqref="C37"/>
    </sheetView>
  </sheetViews>
  <sheetFormatPr defaultColWidth="0" defaultRowHeight="12.75" zeroHeight="1" x14ac:dyDescent="0.2"/>
  <cols>
    <col min="1" max="1" width="35.7109375" customWidth="1"/>
    <col min="2" max="2" width="14.28515625" customWidth="1"/>
    <col min="3" max="3" width="71.42578125" customWidth="1"/>
    <col min="4" max="4" width="50" customWidth="1"/>
    <col min="5" max="5" width="21.42578125" customWidth="1"/>
    <col min="6" max="6" width="39.28515625" customWidth="1"/>
    <col min="7" max="10" width="9.140625" hidden="1" customWidth="1"/>
    <col min="11" max="13" width="0" hidden="1" customWidth="1"/>
  </cols>
  <sheetData>
    <row r="1" spans="1:6" ht="26.25" customHeight="1" x14ac:dyDescent="0.2">
      <c r="A1" s="153" t="s">
        <v>112</v>
      </c>
      <c r="B1" s="153"/>
      <c r="C1" s="153"/>
      <c r="D1" s="153"/>
      <c r="E1" s="153"/>
    </row>
    <row r="2" spans="1:6" ht="21" customHeight="1" x14ac:dyDescent="0.2">
      <c r="A2" s="3" t="s">
        <v>113</v>
      </c>
      <c r="B2" s="151" t="str">
        <f>'Summary and sign-off'!B2:F2</f>
        <v>Sport NZ</v>
      </c>
      <c r="C2" s="151"/>
      <c r="D2" s="151"/>
      <c r="E2" s="151"/>
    </row>
    <row r="3" spans="1:6" ht="31.5" x14ac:dyDescent="0.2">
      <c r="A3" s="3" t="s">
        <v>114</v>
      </c>
      <c r="B3" s="151" t="str">
        <f>'Summary and sign-off'!B3:F3</f>
        <v>Raelene Castle</v>
      </c>
      <c r="C3" s="151"/>
      <c r="D3" s="151"/>
      <c r="E3" s="151"/>
    </row>
    <row r="4" spans="1:6" ht="21" customHeight="1" x14ac:dyDescent="0.2">
      <c r="A4" s="3" t="s">
        <v>115</v>
      </c>
      <c r="B4" s="151">
        <f>'Summary and sign-off'!B4:F4</f>
        <v>45839</v>
      </c>
      <c r="C4" s="151"/>
      <c r="D4" s="151"/>
      <c r="E4" s="151"/>
    </row>
    <row r="5" spans="1:6" ht="21" customHeight="1" x14ac:dyDescent="0.2">
      <c r="A5" s="3" t="s">
        <v>116</v>
      </c>
      <c r="B5" s="151">
        <f>'Summary and sign-off'!B5:F5</f>
        <v>46203</v>
      </c>
      <c r="C5" s="151"/>
      <c r="D5" s="151"/>
      <c r="E5" s="151"/>
    </row>
    <row r="6" spans="1:6" ht="21" customHeight="1" x14ac:dyDescent="0.2">
      <c r="A6" s="3" t="s">
        <v>117</v>
      </c>
      <c r="B6" s="146" t="s">
        <v>84</v>
      </c>
      <c r="C6" s="146"/>
      <c r="D6" s="146"/>
      <c r="E6" s="146"/>
    </row>
    <row r="7" spans="1:6" ht="21" customHeight="1" x14ac:dyDescent="0.2">
      <c r="A7" s="3" t="s">
        <v>58</v>
      </c>
      <c r="B7" s="146" t="s">
        <v>86</v>
      </c>
      <c r="C7" s="146"/>
      <c r="D7" s="146"/>
      <c r="E7" s="146"/>
    </row>
    <row r="8" spans="1:6" ht="35.25" customHeight="1" x14ac:dyDescent="0.25">
      <c r="A8" s="162" t="s">
        <v>362</v>
      </c>
      <c r="B8" s="162"/>
      <c r="C8" s="163"/>
      <c r="D8" s="163"/>
      <c r="E8" s="163"/>
      <c r="F8" s="27"/>
    </row>
    <row r="9" spans="1:6" ht="35.25" customHeight="1" x14ac:dyDescent="0.25">
      <c r="A9" s="160" t="s">
        <v>363</v>
      </c>
      <c r="B9" s="161"/>
      <c r="C9" s="161"/>
      <c r="D9" s="161"/>
      <c r="E9" s="161"/>
      <c r="F9" s="27"/>
    </row>
    <row r="10" spans="1:6" ht="27" customHeight="1" x14ac:dyDescent="0.2">
      <c r="A10" s="24" t="s">
        <v>364</v>
      </c>
      <c r="B10" s="24" t="s">
        <v>65</v>
      </c>
      <c r="C10" s="24" t="s">
        <v>365</v>
      </c>
      <c r="D10" s="24" t="s">
        <v>366</v>
      </c>
      <c r="E10" s="24" t="s">
        <v>125</v>
      </c>
      <c r="F10" s="20"/>
    </row>
    <row r="11" spans="1:6" s="125" customFormat="1" x14ac:dyDescent="0.2">
      <c r="A11" s="131">
        <v>45870</v>
      </c>
      <c r="B11" s="110">
        <v>44.35</v>
      </c>
      <c r="C11" s="114" t="s">
        <v>367</v>
      </c>
      <c r="D11" s="114" t="s">
        <v>368</v>
      </c>
      <c r="E11" s="115" t="s">
        <v>130</v>
      </c>
      <c r="F11" s="132"/>
    </row>
    <row r="12" spans="1:6" s="125" customFormat="1" x14ac:dyDescent="0.2">
      <c r="A12" s="109">
        <v>45931</v>
      </c>
      <c r="B12" s="110">
        <v>30.12</v>
      </c>
      <c r="C12" s="114" t="s">
        <v>369</v>
      </c>
      <c r="D12" s="114" t="s">
        <v>370</v>
      </c>
      <c r="E12" s="115" t="s">
        <v>130</v>
      </c>
      <c r="F12" s="2"/>
    </row>
    <row r="13" spans="1:6" s="125" customFormat="1" x14ac:dyDescent="0.2">
      <c r="A13" s="109">
        <v>45992</v>
      </c>
      <c r="B13" s="110">
        <v>17.809999999999999</v>
      </c>
      <c r="C13" s="114" t="s">
        <v>371</v>
      </c>
      <c r="D13" s="114" t="s">
        <v>372</v>
      </c>
      <c r="E13" s="115" t="s">
        <v>154</v>
      </c>
      <c r="F13" s="2"/>
    </row>
    <row r="14" spans="1:6" s="125" customFormat="1" x14ac:dyDescent="0.2">
      <c r="A14" s="109">
        <v>46009</v>
      </c>
      <c r="B14" s="110">
        <v>90.69</v>
      </c>
      <c r="C14" s="114" t="s">
        <v>373</v>
      </c>
      <c r="D14" s="114" t="s">
        <v>374</v>
      </c>
      <c r="E14" s="115" t="s">
        <v>130</v>
      </c>
      <c r="F14" s="132"/>
    </row>
    <row r="15" spans="1:6" s="125" customFormat="1" x14ac:dyDescent="0.2">
      <c r="A15" s="109">
        <v>46132</v>
      </c>
      <c r="B15" s="110">
        <v>53.87</v>
      </c>
      <c r="C15" s="114" t="s">
        <v>375</v>
      </c>
      <c r="D15" s="114" t="s">
        <v>376</v>
      </c>
      <c r="E15" s="115" t="s">
        <v>154</v>
      </c>
      <c r="F15" s="2"/>
    </row>
    <row r="16" spans="1:6" s="125" customFormat="1" x14ac:dyDescent="0.2">
      <c r="A16" s="109">
        <v>46136</v>
      </c>
      <c r="B16" s="110">
        <v>59.57</v>
      </c>
      <c r="C16" s="114" t="s">
        <v>377</v>
      </c>
      <c r="D16" s="114" t="s">
        <v>378</v>
      </c>
      <c r="E16" s="115" t="s">
        <v>130</v>
      </c>
      <c r="F16" s="2"/>
    </row>
    <row r="17" spans="1:6" s="2" customFormat="1" x14ac:dyDescent="0.2">
      <c r="A17" s="109"/>
      <c r="B17" s="110"/>
      <c r="C17" s="114"/>
      <c r="D17" s="114"/>
      <c r="E17" s="115"/>
    </row>
    <row r="18" spans="1:6" s="2" customFormat="1" ht="11.25" hidden="1" customHeight="1" x14ac:dyDescent="0.2">
      <c r="A18" s="98"/>
      <c r="B18" s="95"/>
      <c r="C18" s="99"/>
      <c r="D18" s="99"/>
      <c r="E18" s="100"/>
    </row>
    <row r="19" spans="1:6" ht="34.5" customHeight="1" x14ac:dyDescent="0.2">
      <c r="A19" s="53" t="s">
        <v>379</v>
      </c>
      <c r="B19" s="62">
        <f>SUM(B11:B18)</f>
        <v>296.41000000000003</v>
      </c>
      <c r="C19" s="70" t="str">
        <f>IF(SUBTOTAL(3,B11:B18)=SUBTOTAL(103,B11:B18),'Summary and sign-off'!$A$48,'Summary and sign-off'!$A$49)</f>
        <v>Check - there are no hidden rows with data</v>
      </c>
      <c r="D19" s="152" t="str">
        <f>IF('Summary and sign-off'!F58='Summary and sign-off'!F54,'Summary and sign-off'!A51,'Summary and sign-off'!A50)</f>
        <v>Check - each entry provides sufficient information</v>
      </c>
      <c r="E19" s="152"/>
      <c r="F19" s="2"/>
    </row>
    <row r="20" spans="1:6" x14ac:dyDescent="0.2">
      <c r="A20" s="18"/>
      <c r="B20" s="17"/>
      <c r="C20" s="17"/>
      <c r="D20" s="17"/>
      <c r="E20" s="17"/>
    </row>
    <row r="21" spans="1:6" x14ac:dyDescent="0.2">
      <c r="A21" s="18" t="s">
        <v>76</v>
      </c>
      <c r="B21" s="19"/>
      <c r="C21" s="17"/>
      <c r="D21" s="17"/>
      <c r="E21" s="17"/>
    </row>
    <row r="22" spans="1:6" ht="12.75" customHeight="1" x14ac:dyDescent="0.2">
      <c r="A22" s="20" t="s">
        <v>380</v>
      </c>
      <c r="B22" s="20"/>
      <c r="C22" s="20"/>
      <c r="D22" s="20"/>
      <c r="E22" s="20"/>
    </row>
    <row r="23" spans="1:6" x14ac:dyDescent="0.2">
      <c r="A23" s="20" t="s">
        <v>381</v>
      </c>
      <c r="B23" s="20"/>
      <c r="C23" s="28"/>
      <c r="D23" s="28"/>
      <c r="E23" s="28"/>
    </row>
    <row r="24" spans="1:6" x14ac:dyDescent="0.2">
      <c r="A24" s="20" t="s">
        <v>82</v>
      </c>
      <c r="B24" s="19"/>
      <c r="C24" s="17"/>
      <c r="D24" s="17"/>
      <c r="E24" s="17"/>
      <c r="F24" s="17"/>
    </row>
    <row r="25" spans="1:6" x14ac:dyDescent="0.2">
      <c r="A25" s="20" t="s">
        <v>382</v>
      </c>
      <c r="B25" s="20"/>
      <c r="C25" s="28"/>
      <c r="D25" s="28"/>
      <c r="E25" s="28"/>
    </row>
    <row r="26" spans="1:6" ht="12.75" customHeight="1" x14ac:dyDescent="0.2">
      <c r="A26" s="20" t="s">
        <v>383</v>
      </c>
      <c r="B26" s="20"/>
      <c r="C26" s="22"/>
      <c r="D26" s="22"/>
      <c r="E26" s="22"/>
    </row>
    <row r="27" spans="1:6" x14ac:dyDescent="0.2">
      <c r="A27" s="17"/>
      <c r="B27" s="17"/>
      <c r="C27" s="17"/>
      <c r="D27" s="17"/>
      <c r="E27" s="17"/>
    </row>
    <row r="28" spans="1:6" x14ac:dyDescent="0.2"/>
    <row r="29" spans="1:6" x14ac:dyDescent="0.2"/>
    <row r="30" spans="1:6" x14ac:dyDescent="0.2"/>
    <row r="31" spans="1:6" x14ac:dyDescent="0.2"/>
    <row r="32" spans="1:6" x14ac:dyDescent="0.2"/>
    <row r="33" x14ac:dyDescent="0.2"/>
    <row r="34" x14ac:dyDescent="0.2"/>
    <row r="35" x14ac:dyDescent="0.2"/>
    <row r="36" x14ac:dyDescent="0.2"/>
    <row r="37" x14ac:dyDescent="0.2"/>
    <row r="38" x14ac:dyDescent="0.2"/>
  </sheetData>
  <sheetProtection sheet="1" formatCells="0" insertRows="0" deleteRows="0"/>
  <mergeCells count="10">
    <mergeCell ref="D19:E19"/>
    <mergeCell ref="B6:E6"/>
    <mergeCell ref="B5:E5"/>
    <mergeCell ref="A1:E1"/>
    <mergeCell ref="A9:E9"/>
    <mergeCell ref="B2:E2"/>
    <mergeCell ref="B3:E3"/>
    <mergeCell ref="B4:E4"/>
    <mergeCell ref="A8:E8"/>
    <mergeCell ref="B7:E7"/>
  </mergeCells>
  <dataValidations count="3">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18" xr:uid="{00000000-0002-0000-0300-000000000000}">
      <formula1>$B$4</formula1>
      <formula2>$B$5</formula2>
    </dataValidation>
    <dataValidation allowBlank="1" showInputMessage="1" showErrorMessage="1" prompt="Insert additional rows as needed:_x000a_- 'right click' on a row number (left of screen)_x000a_- select 'Insert' (this will insert a row above it)" sqref="A10" xr:uid="{00000000-0002-0000-0300-000001000000}"/>
    <dataValidation type="date" errorStyle="warning" allowBlank="1" showInputMessage="1" showErrorMessage="1" error="This date may be outside the timeframe indicated (eg 2018/19 year)" prompt="Any non-standard date format or date outside the disclosure period (typically 1 July - 30 June) will raise an alert. Check entry and select 'Yes' to accept/continue." sqref="A11:A17" xr:uid="{9A7E9F63-43B8-46EF-8656-0D5E1A7A706A}">
      <formula1>$B$4</formula1>
      <formula2>$B$5</formula2>
    </dataValidation>
  </dataValidations>
  <printOptions gridLines="1"/>
  <pageMargins left="0.70866141732283472" right="0.70866141732283472" top="0.74803149606299213" bottom="0.74803149606299213" header="0.31496062992125984" footer="0.31496062992125984"/>
  <pageSetup paperSize="9" scale="69" fitToHeight="0" orientation="landscape" r:id="rId1"/>
  <headerFooter alignWithMargins="0">
    <oddFooter>&amp;LCE Expense Disclosure Workbook 2018&amp;RWorksheet - Hospitality</oddFooter>
  </headerFooter>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r:uid="{00000000-0002-0000-0300-000002000000}">
          <x14:formula1>
            <xm:f>'Summary and sign-off'!$A$27:$A$28</xm:f>
          </x14:formula1>
          <xm:sqref>B6:E6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r:uid="{00000000-0002-0000-0300-000003000000}">
          <x14:formula1>
            <xm:f>'Summary and sign-off'!$A$29:$A$30</xm:f>
          </x14:formula1>
          <xm:sqref>B7:E7</xm:sqref>
        </x14:dataValidation>
        <x14:dataValidation type="decimal" operator="greaterThan" allowBlank="1" showInputMessage="1" showErrorMessage="1" error="This cell must contain a dollar figure" xr:uid="{00000000-0002-0000-0300-000004000000}">
          <x14:formula1>
            <xm:f>'Summary and sign-off'!$A$47</xm:f>
          </x14:formula1>
          <xm:sqref>B11:B18</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3" tint="0.39997558519241921"/>
    <pageSetUpPr fitToPage="1"/>
  </sheetPr>
  <dimension ref="A1:M40"/>
  <sheetViews>
    <sheetView zoomScaleNormal="100" workbookViewId="0">
      <selection activeCell="C38" sqref="C38"/>
    </sheetView>
  </sheetViews>
  <sheetFormatPr defaultColWidth="0" defaultRowHeight="12.75" zeroHeight="1" x14ac:dyDescent="0.2"/>
  <cols>
    <col min="1" max="1" width="35.7109375" customWidth="1"/>
    <col min="2" max="2" width="14.28515625" customWidth="1"/>
    <col min="3" max="3" width="71.42578125" customWidth="1"/>
    <col min="4" max="4" width="50" customWidth="1"/>
    <col min="5" max="5" width="21.42578125" customWidth="1"/>
    <col min="6" max="6" width="36.85546875" customWidth="1"/>
    <col min="7" max="10" width="9.140625" hidden="1" customWidth="1"/>
    <col min="11" max="13" width="0" hidden="1" customWidth="1"/>
    <col min="14" max="16384" width="9.140625" hidden="1"/>
  </cols>
  <sheetData>
    <row r="1" spans="1:6" ht="26.25" customHeight="1" x14ac:dyDescent="0.2">
      <c r="A1" s="153" t="s">
        <v>112</v>
      </c>
      <c r="B1" s="153"/>
      <c r="C1" s="153"/>
      <c r="D1" s="153"/>
      <c r="E1" s="153"/>
    </row>
    <row r="2" spans="1:6" ht="21" customHeight="1" x14ac:dyDescent="0.2">
      <c r="A2" s="3" t="s">
        <v>113</v>
      </c>
      <c r="B2" s="151" t="str">
        <f>'Summary and sign-off'!B2:F2</f>
        <v>Sport NZ</v>
      </c>
      <c r="C2" s="151"/>
      <c r="D2" s="151"/>
      <c r="E2" s="151"/>
    </row>
    <row r="3" spans="1:6" ht="31.5" x14ac:dyDescent="0.2">
      <c r="A3" s="3" t="s">
        <v>384</v>
      </c>
      <c r="B3" s="151" t="str">
        <f>'Summary and sign-off'!B3:F3</f>
        <v>Raelene Castle</v>
      </c>
      <c r="C3" s="151"/>
      <c r="D3" s="151"/>
      <c r="E3" s="151"/>
    </row>
    <row r="4" spans="1:6" ht="21" customHeight="1" x14ac:dyDescent="0.2">
      <c r="A4" s="3" t="s">
        <v>115</v>
      </c>
      <c r="B4" s="151">
        <f>'Summary and sign-off'!B4:F4</f>
        <v>45839</v>
      </c>
      <c r="C4" s="151"/>
      <c r="D4" s="151"/>
      <c r="E4" s="151"/>
    </row>
    <row r="5" spans="1:6" ht="21" customHeight="1" x14ac:dyDescent="0.2">
      <c r="A5" s="3" t="s">
        <v>116</v>
      </c>
      <c r="B5" s="151">
        <f>'Summary and sign-off'!B5:F5</f>
        <v>46203</v>
      </c>
      <c r="C5" s="151"/>
      <c r="D5" s="151"/>
      <c r="E5" s="151"/>
    </row>
    <row r="6" spans="1:6" ht="21" customHeight="1" x14ac:dyDescent="0.2">
      <c r="A6" s="3" t="s">
        <v>117</v>
      </c>
      <c r="B6" s="146" t="s">
        <v>84</v>
      </c>
      <c r="C6" s="146"/>
      <c r="D6" s="146"/>
      <c r="E6" s="146"/>
      <c r="F6" s="23"/>
    </row>
    <row r="7" spans="1:6" ht="21" customHeight="1" x14ac:dyDescent="0.2">
      <c r="A7" s="3" t="s">
        <v>58</v>
      </c>
      <c r="B7" s="146" t="s">
        <v>86</v>
      </c>
      <c r="C7" s="146"/>
      <c r="D7" s="146"/>
      <c r="E7" s="146"/>
      <c r="F7" s="23"/>
    </row>
    <row r="8" spans="1:6" ht="35.25" customHeight="1" x14ac:dyDescent="0.2">
      <c r="A8" s="156" t="s">
        <v>385</v>
      </c>
      <c r="B8" s="156"/>
      <c r="C8" s="163"/>
      <c r="D8" s="163"/>
      <c r="E8" s="163"/>
    </row>
    <row r="9" spans="1:6" ht="35.25" customHeight="1" x14ac:dyDescent="0.2">
      <c r="A9" s="164" t="s">
        <v>386</v>
      </c>
      <c r="B9" s="165"/>
      <c r="C9" s="165"/>
      <c r="D9" s="165"/>
      <c r="E9" s="165"/>
    </row>
    <row r="10" spans="1:6" ht="27" customHeight="1" x14ac:dyDescent="0.2">
      <c r="A10" s="24" t="s">
        <v>121</v>
      </c>
      <c r="B10" s="24" t="s">
        <v>65</v>
      </c>
      <c r="C10" s="24" t="s">
        <v>387</v>
      </c>
      <c r="D10" s="24" t="s">
        <v>388</v>
      </c>
      <c r="E10" s="24" t="s">
        <v>125</v>
      </c>
      <c r="F10" s="20"/>
    </row>
    <row r="11" spans="1:6" s="2" customFormat="1" hidden="1" x14ac:dyDescent="0.2">
      <c r="A11" s="98"/>
      <c r="B11" s="95"/>
      <c r="C11" s="99"/>
      <c r="D11" s="99"/>
      <c r="E11" s="100"/>
    </row>
    <row r="12" spans="1:6" s="125" customFormat="1" x14ac:dyDescent="0.2">
      <c r="A12" s="109">
        <v>46180</v>
      </c>
      <c r="B12" s="110">
        <v>46.1</v>
      </c>
      <c r="C12" s="114" t="s">
        <v>350</v>
      </c>
      <c r="D12" s="114" t="s">
        <v>390</v>
      </c>
      <c r="E12" s="115" t="s">
        <v>130</v>
      </c>
      <c r="F12" s="2"/>
    </row>
    <row r="13" spans="1:6" s="2" customFormat="1" x14ac:dyDescent="0.2">
      <c r="A13" s="109"/>
      <c r="B13" s="110"/>
      <c r="C13" s="114"/>
      <c r="D13" s="114"/>
      <c r="E13" s="115"/>
    </row>
    <row r="14" spans="1:6" s="2" customFormat="1" x14ac:dyDescent="0.2">
      <c r="A14" s="109"/>
      <c r="B14" s="110"/>
      <c r="C14" s="114"/>
      <c r="D14" s="114"/>
      <c r="E14" s="115"/>
    </row>
    <row r="15" spans="1:6" s="2" customFormat="1" x14ac:dyDescent="0.2">
      <c r="A15" s="113"/>
      <c r="B15" s="110"/>
      <c r="C15" s="114"/>
      <c r="D15" s="114"/>
      <c r="E15" s="115"/>
    </row>
    <row r="16" spans="1:6" s="2" customFormat="1" x14ac:dyDescent="0.2">
      <c r="A16" s="113"/>
      <c r="B16" s="110"/>
      <c r="C16" s="114"/>
      <c r="D16" s="114"/>
      <c r="E16" s="115"/>
    </row>
    <row r="17" spans="1:6" s="2" customFormat="1" hidden="1" x14ac:dyDescent="0.2">
      <c r="A17" s="98"/>
      <c r="B17" s="95"/>
      <c r="C17" s="99"/>
      <c r="D17" s="99"/>
      <c r="E17" s="100"/>
    </row>
    <row r="18" spans="1:6" ht="34.5" customHeight="1" x14ac:dyDescent="0.2">
      <c r="A18" s="53" t="s">
        <v>391</v>
      </c>
      <c r="B18" s="62">
        <f>SUM(B11:B17)</f>
        <v>46.1</v>
      </c>
      <c r="C18" s="70" t="str">
        <f>IF(SUBTOTAL(3,B11:B17)=SUBTOTAL(103,B11:B17),'Summary and sign-off'!$A$48,'Summary and sign-off'!$A$49)</f>
        <v>Check - there are no hidden rows with data</v>
      </c>
      <c r="D18" s="152" t="str">
        <f>IF('Summary and sign-off'!F59='Summary and sign-off'!F54,'Summary and sign-off'!A51,'Summary and sign-off'!A50)</f>
        <v>Check - each entry provides sufficient information</v>
      </c>
      <c r="E18" s="152"/>
    </row>
    <row r="19" spans="1:6" ht="14.25" customHeight="1" x14ac:dyDescent="0.2">
      <c r="B19" s="17"/>
      <c r="C19" s="17"/>
      <c r="D19" s="17"/>
      <c r="E19" s="17"/>
    </row>
    <row r="20" spans="1:6" x14ac:dyDescent="0.2">
      <c r="A20" s="18" t="s">
        <v>392</v>
      </c>
      <c r="B20" s="17"/>
      <c r="C20" s="17"/>
      <c r="D20" s="17"/>
      <c r="E20" s="17"/>
    </row>
    <row r="21" spans="1:6" ht="12.75" customHeight="1" x14ac:dyDescent="0.2">
      <c r="A21" s="20" t="s">
        <v>356</v>
      </c>
      <c r="B21" s="17"/>
      <c r="C21" s="17"/>
      <c r="D21" s="17"/>
      <c r="E21" s="17"/>
    </row>
    <row r="22" spans="1:6" x14ac:dyDescent="0.2">
      <c r="A22" s="20" t="s">
        <v>82</v>
      </c>
      <c r="B22" s="19"/>
      <c r="C22" s="17"/>
      <c r="D22" s="17"/>
      <c r="E22" s="17"/>
      <c r="F22" s="17"/>
    </row>
    <row r="23" spans="1:6" x14ac:dyDescent="0.2">
      <c r="A23" s="20" t="s">
        <v>382</v>
      </c>
      <c r="C23" s="17"/>
      <c r="D23" s="17"/>
      <c r="E23" s="17"/>
      <c r="F23" s="17"/>
    </row>
    <row r="24" spans="1:6" ht="12.75" customHeight="1" x14ac:dyDescent="0.2">
      <c r="A24" s="20" t="s">
        <v>383</v>
      </c>
      <c r="B24" s="25"/>
      <c r="C24" s="22"/>
      <c r="D24" s="22"/>
      <c r="E24" s="22"/>
      <c r="F24" s="22"/>
    </row>
    <row r="25" spans="1:6" x14ac:dyDescent="0.2">
      <c r="B25" s="26"/>
      <c r="C25" s="17"/>
      <c r="D25" s="17"/>
      <c r="E25" s="17"/>
    </row>
    <row r="26" spans="1:6" hidden="1" x14ac:dyDescent="0.2">
      <c r="A26" s="17"/>
      <c r="B26" s="17"/>
      <c r="C26" s="17"/>
      <c r="D26" s="17"/>
    </row>
    <row r="27" spans="1:6" ht="12.75" hidden="1" customHeight="1" x14ac:dyDescent="0.2"/>
    <row r="28" spans="1:6" hidden="1" x14ac:dyDescent="0.2">
      <c r="A28" s="17"/>
      <c r="B28" s="17"/>
      <c r="C28" s="17"/>
      <c r="D28" s="17"/>
      <c r="E28" s="17"/>
    </row>
    <row r="29" spans="1:6" hidden="1" x14ac:dyDescent="0.2">
      <c r="A29" s="17"/>
      <c r="B29" s="17"/>
      <c r="C29" s="17"/>
      <c r="D29" s="17"/>
      <c r="E29" s="17"/>
    </row>
    <row r="30" spans="1:6" hidden="1" x14ac:dyDescent="0.2">
      <c r="A30" s="17"/>
      <c r="B30" s="17"/>
      <c r="C30" s="17"/>
      <c r="D30" s="17"/>
      <c r="E30" s="17"/>
    </row>
    <row r="31" spans="1:6" hidden="1" x14ac:dyDescent="0.2">
      <c r="A31" s="17"/>
      <c r="B31" s="17"/>
      <c r="C31" s="17"/>
      <c r="D31" s="17"/>
      <c r="E31" s="17"/>
    </row>
    <row r="32" spans="1:6" hidden="1" x14ac:dyDescent="0.2">
      <c r="A32" s="17"/>
      <c r="B32" s="17"/>
      <c r="C32" s="17"/>
      <c r="D32" s="17"/>
      <c r="E32" s="17"/>
    </row>
    <row r="33" x14ac:dyDescent="0.2"/>
    <row r="34" x14ac:dyDescent="0.2"/>
    <row r="35" x14ac:dyDescent="0.2"/>
    <row r="36" x14ac:dyDescent="0.2"/>
    <row r="37" x14ac:dyDescent="0.2"/>
    <row r="38" x14ac:dyDescent="0.2"/>
    <row r="39" x14ac:dyDescent="0.2"/>
    <row r="40" x14ac:dyDescent="0.2"/>
  </sheetData>
  <sheetProtection sheet="1" formatCells="0" insertRows="0" deleteRows="0"/>
  <mergeCells count="10">
    <mergeCell ref="D18:E18"/>
    <mergeCell ref="B6:E6"/>
    <mergeCell ref="B5:E5"/>
    <mergeCell ref="B7:E7"/>
    <mergeCell ref="A1:E1"/>
    <mergeCell ref="B2:E2"/>
    <mergeCell ref="B3:E3"/>
    <mergeCell ref="B4:E4"/>
    <mergeCell ref="A9:E9"/>
    <mergeCell ref="A8:E8"/>
  </mergeCells>
  <dataValidations count="3">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11 A17" xr:uid="{00000000-0002-0000-0400-000000000000}">
      <formula1>$B$4</formula1>
      <formula2>$B$5</formula2>
    </dataValidation>
    <dataValidation allowBlank="1" showInputMessage="1" showErrorMessage="1" prompt="Insert additional rows as needed:_x000a_- 'right click' on a row number (left of screen)_x000a_- select 'Insert' (this will insert a row above it)" sqref="A10" xr:uid="{00000000-0002-0000-0400-000001000000}"/>
    <dataValidation type="date" errorStyle="warning" allowBlank="1" showInputMessage="1" showErrorMessage="1" error="This date may be outside the timeframe indicated (eg 2018/19 year)" prompt="Any non-standard date format or date outside the disclosure period (typically 1 July - 30 June) will raise an alert. Check entry and select 'Yes' to accept/continue." sqref="A12:A16" xr:uid="{687D4BD6-8F5F-4681-B352-360D3908846F}">
      <formula1>$B$4</formula1>
      <formula2>$B$5</formula2>
    </dataValidation>
  </dataValidations>
  <printOptions gridLines="1"/>
  <pageMargins left="0.70866141732283472" right="0.70866141732283472" top="0.74803149606299213" bottom="0.74803149606299213" header="0.31496062992125984" footer="0.31496062992125984"/>
  <pageSetup paperSize="9" scale="69" fitToHeight="0" orientation="landscape" r:id="rId1"/>
  <headerFooter alignWithMargins="0">
    <oddFooter>&amp;LCE Expense Disclosure Workbook 2018&amp;RWorksheet - All other expenses</oddFooter>
  </headerFooter>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r:uid="{00000000-0002-0000-0400-000002000000}">
          <x14:formula1>
            <xm:f>'Summary and sign-off'!$A$27:$A$28</xm:f>
          </x14:formula1>
          <xm:sqref>B6:E6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r:uid="{00000000-0002-0000-0400-000003000000}">
          <x14:formula1>
            <xm:f>'Summary and sign-off'!$A$29:$A$30</xm:f>
          </x14:formula1>
          <xm:sqref>B7:E7</xm:sqref>
        </x14:dataValidation>
        <x14:dataValidation type="decimal" operator="greaterThan" allowBlank="1" showInputMessage="1" showErrorMessage="1" error="This cell must contain a dollar figure" xr:uid="{00000000-0002-0000-0400-000004000000}">
          <x14:formula1>
            <xm:f>'Summary and sign-off'!$A$47</xm:f>
          </x14:formula1>
          <xm:sqref>B11:B17</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8" tint="-0.249977111117893"/>
    <pageSetUpPr fitToPage="1"/>
  </sheetPr>
  <dimension ref="A1:J58"/>
  <sheetViews>
    <sheetView zoomScaleNormal="100" workbookViewId="0">
      <selection activeCell="D31" sqref="D31"/>
    </sheetView>
  </sheetViews>
  <sheetFormatPr defaultColWidth="0" defaultRowHeight="12.75" zeroHeight="1" x14ac:dyDescent="0.2"/>
  <cols>
    <col min="1" max="1" width="35.7109375" customWidth="1"/>
    <col min="2" max="2" width="46.85546875" customWidth="1"/>
    <col min="3" max="3" width="22.140625" customWidth="1"/>
    <col min="4" max="4" width="25.42578125" customWidth="1"/>
    <col min="5" max="6" width="35.7109375" customWidth="1"/>
    <col min="7" max="7" width="38" customWidth="1"/>
    <col min="8" max="10" width="9.140625" hidden="1" customWidth="1"/>
    <col min="11" max="15" width="0" hidden="1" customWidth="1"/>
  </cols>
  <sheetData>
    <row r="1" spans="1:6" ht="26.25" customHeight="1" x14ac:dyDescent="0.2">
      <c r="A1" s="153" t="s">
        <v>393</v>
      </c>
      <c r="B1" s="153"/>
      <c r="C1" s="153"/>
      <c r="D1" s="153"/>
      <c r="E1" s="153"/>
      <c r="F1" s="153"/>
    </row>
    <row r="2" spans="1:6" ht="21" customHeight="1" x14ac:dyDescent="0.2">
      <c r="A2" s="3" t="s">
        <v>113</v>
      </c>
      <c r="B2" s="151" t="str">
        <f>'Summary and sign-off'!B2:F2</f>
        <v>Sport NZ</v>
      </c>
      <c r="C2" s="151"/>
      <c r="D2" s="151"/>
      <c r="E2" s="151"/>
      <c r="F2" s="151"/>
    </row>
    <row r="3" spans="1:6" ht="31.5" x14ac:dyDescent="0.2">
      <c r="A3" s="3" t="s">
        <v>114</v>
      </c>
      <c r="B3" s="151" t="str">
        <f>'Summary and sign-off'!B3:F3</f>
        <v>Raelene Castle</v>
      </c>
      <c r="C3" s="151"/>
      <c r="D3" s="151"/>
      <c r="E3" s="151"/>
      <c r="F3" s="151"/>
    </row>
    <row r="4" spans="1:6" ht="21" customHeight="1" x14ac:dyDescent="0.2">
      <c r="A4" s="3" t="s">
        <v>115</v>
      </c>
      <c r="B4" s="151">
        <f>'Summary and sign-off'!B4:F4</f>
        <v>45839</v>
      </c>
      <c r="C4" s="151"/>
      <c r="D4" s="151"/>
      <c r="E4" s="151"/>
      <c r="F4" s="151"/>
    </row>
    <row r="5" spans="1:6" ht="21" customHeight="1" x14ac:dyDescent="0.2">
      <c r="A5" s="3" t="s">
        <v>116</v>
      </c>
      <c r="B5" s="151">
        <f>'Summary and sign-off'!B5:F5</f>
        <v>46203</v>
      </c>
      <c r="C5" s="151"/>
      <c r="D5" s="151"/>
      <c r="E5" s="151"/>
      <c r="F5" s="151"/>
    </row>
    <row r="6" spans="1:6" ht="21" customHeight="1" x14ac:dyDescent="0.2">
      <c r="A6" s="3" t="s">
        <v>394</v>
      </c>
      <c r="B6" s="146" t="s">
        <v>83</v>
      </c>
      <c r="C6" s="146"/>
      <c r="D6" s="146"/>
      <c r="E6" s="146"/>
      <c r="F6" s="146"/>
    </row>
    <row r="7" spans="1:6" ht="21" customHeight="1" x14ac:dyDescent="0.2">
      <c r="A7" s="3" t="s">
        <v>58</v>
      </c>
      <c r="B7" s="146" t="s">
        <v>86</v>
      </c>
      <c r="C7" s="146"/>
      <c r="D7" s="146"/>
      <c r="E7" s="146"/>
      <c r="F7" s="146"/>
    </row>
    <row r="8" spans="1:6" ht="36" customHeight="1" x14ac:dyDescent="0.2">
      <c r="A8" s="156" t="s">
        <v>395</v>
      </c>
      <c r="B8" s="156"/>
      <c r="C8" s="156"/>
      <c r="D8" s="156"/>
      <c r="E8" s="156"/>
      <c r="F8" s="156"/>
    </row>
    <row r="9" spans="1:6" ht="36" customHeight="1" x14ac:dyDescent="0.2">
      <c r="A9" s="164" t="s">
        <v>396</v>
      </c>
      <c r="B9" s="165"/>
      <c r="C9" s="165"/>
      <c r="D9" s="165"/>
      <c r="E9" s="165"/>
      <c r="F9" s="165"/>
    </row>
    <row r="10" spans="1:6" ht="39" customHeight="1" x14ac:dyDescent="0.2">
      <c r="A10" s="24" t="s">
        <v>121</v>
      </c>
      <c r="B10" s="104" t="s">
        <v>397</v>
      </c>
      <c r="C10" s="104" t="s">
        <v>398</v>
      </c>
      <c r="D10" s="104" t="s">
        <v>399</v>
      </c>
      <c r="E10" s="104" t="s">
        <v>400</v>
      </c>
      <c r="F10" s="104" t="s">
        <v>401</v>
      </c>
    </row>
    <row r="11" spans="1:6" s="2" customFormat="1" x14ac:dyDescent="0.2">
      <c r="A11" s="109">
        <v>45850</v>
      </c>
      <c r="B11" s="114" t="s">
        <v>402</v>
      </c>
      <c r="C11" s="117" t="s">
        <v>99</v>
      </c>
      <c r="D11" s="114" t="s">
        <v>403</v>
      </c>
      <c r="E11" s="118" t="s">
        <v>95</v>
      </c>
      <c r="F11" s="115"/>
    </row>
    <row r="12" spans="1:6" s="2" customFormat="1" x14ac:dyDescent="0.2">
      <c r="A12" s="109">
        <v>45865</v>
      </c>
      <c r="B12" s="114" t="s">
        <v>404</v>
      </c>
      <c r="C12" s="117" t="s">
        <v>99</v>
      </c>
      <c r="D12" s="114" t="s">
        <v>405</v>
      </c>
      <c r="E12" s="118" t="s">
        <v>94</v>
      </c>
      <c r="F12" s="115"/>
    </row>
    <row r="13" spans="1:6" s="2" customFormat="1" x14ac:dyDescent="0.2">
      <c r="A13" s="109">
        <v>45906</v>
      </c>
      <c r="B13" s="114" t="s">
        <v>406</v>
      </c>
      <c r="C13" s="117" t="s">
        <v>99</v>
      </c>
      <c r="D13" s="114" t="s">
        <v>403</v>
      </c>
      <c r="E13" s="118" t="s">
        <v>95</v>
      </c>
      <c r="F13" s="115"/>
    </row>
    <row r="14" spans="1:6" s="2" customFormat="1" x14ac:dyDescent="0.2">
      <c r="A14" s="109">
        <v>45906</v>
      </c>
      <c r="B14" s="114" t="s">
        <v>407</v>
      </c>
      <c r="C14" s="117" t="s">
        <v>99</v>
      </c>
      <c r="D14" s="114" t="s">
        <v>408</v>
      </c>
      <c r="E14" s="118" t="s">
        <v>94</v>
      </c>
      <c r="F14" s="115"/>
    </row>
    <row r="15" spans="1:6" s="2" customFormat="1" x14ac:dyDescent="0.2">
      <c r="A15" s="109">
        <v>45913</v>
      </c>
      <c r="B15" s="116" t="s">
        <v>409</v>
      </c>
      <c r="C15" s="117" t="s">
        <v>100</v>
      </c>
      <c r="D15" s="116" t="s">
        <v>403</v>
      </c>
      <c r="E15" s="118" t="s">
        <v>95</v>
      </c>
      <c r="F15" s="119"/>
    </row>
    <row r="16" spans="1:6" s="2" customFormat="1" x14ac:dyDescent="0.2">
      <c r="A16" s="109">
        <v>45921</v>
      </c>
      <c r="B16" s="116" t="s">
        <v>410</v>
      </c>
      <c r="C16" s="117" t="s">
        <v>99</v>
      </c>
      <c r="D16" s="116" t="s">
        <v>405</v>
      </c>
      <c r="E16" s="118" t="s">
        <v>94</v>
      </c>
      <c r="F16" s="119"/>
    </row>
    <row r="17" spans="1:6" s="2" customFormat="1" x14ac:dyDescent="0.2">
      <c r="A17" s="109">
        <v>45925</v>
      </c>
      <c r="B17" s="116" t="s">
        <v>411</v>
      </c>
      <c r="C17" s="117" t="s">
        <v>99</v>
      </c>
      <c r="D17" s="116" t="s">
        <v>412</v>
      </c>
      <c r="E17" s="118" t="s">
        <v>94</v>
      </c>
      <c r="F17" s="119"/>
    </row>
    <row r="18" spans="1:6" s="2" customFormat="1" x14ac:dyDescent="0.2">
      <c r="A18" s="109">
        <v>45963</v>
      </c>
      <c r="B18" s="116" t="s">
        <v>413</v>
      </c>
      <c r="C18" s="117" t="s">
        <v>99</v>
      </c>
      <c r="D18" s="116" t="s">
        <v>414</v>
      </c>
      <c r="E18" s="118" t="s">
        <v>95</v>
      </c>
      <c r="F18" s="119"/>
    </row>
    <row r="19" spans="1:6" s="2" customFormat="1" x14ac:dyDescent="0.2">
      <c r="A19" s="109">
        <v>46039</v>
      </c>
      <c r="B19" s="116" t="s">
        <v>415</v>
      </c>
      <c r="C19" s="117" t="s">
        <v>99</v>
      </c>
      <c r="D19" s="116" t="s">
        <v>416</v>
      </c>
      <c r="E19" s="118" t="s">
        <v>95</v>
      </c>
      <c r="F19" s="119"/>
    </row>
    <row r="20" spans="1:6" s="2" customFormat="1" x14ac:dyDescent="0.2">
      <c r="A20" s="109">
        <v>46103</v>
      </c>
      <c r="B20" s="116" t="s">
        <v>417</v>
      </c>
      <c r="C20" s="117" t="s">
        <v>99</v>
      </c>
      <c r="D20" s="116" t="s">
        <v>418</v>
      </c>
      <c r="E20" s="118" t="s">
        <v>95</v>
      </c>
      <c r="F20" s="119"/>
    </row>
    <row r="21" spans="1:6" s="2" customFormat="1" x14ac:dyDescent="0.2">
      <c r="A21" s="109">
        <v>46084</v>
      </c>
      <c r="B21" s="116" t="s">
        <v>419</v>
      </c>
      <c r="C21" s="117" t="s">
        <v>99</v>
      </c>
      <c r="D21" s="116" t="s">
        <v>420</v>
      </c>
      <c r="E21" s="118" t="s">
        <v>94</v>
      </c>
      <c r="F21" s="119"/>
    </row>
    <row r="22" spans="1:6" s="2" customFormat="1" x14ac:dyDescent="0.2">
      <c r="A22" s="126">
        <v>46107</v>
      </c>
      <c r="B22" s="116" t="s">
        <v>421</v>
      </c>
      <c r="C22" s="117" t="s">
        <v>99</v>
      </c>
      <c r="D22" s="116" t="s">
        <v>418</v>
      </c>
      <c r="E22" s="118" t="s">
        <v>95</v>
      </c>
      <c r="F22" s="119"/>
    </row>
    <row r="23" spans="1:6" s="2" customFormat="1" x14ac:dyDescent="0.2">
      <c r="A23" s="126" t="s">
        <v>422</v>
      </c>
      <c r="B23" s="116" t="s">
        <v>423</v>
      </c>
      <c r="C23" s="117" t="s">
        <v>99</v>
      </c>
      <c r="D23" s="116" t="s">
        <v>424</v>
      </c>
      <c r="E23" s="118" t="s">
        <v>95</v>
      </c>
      <c r="F23" s="119"/>
    </row>
    <row r="24" spans="1:6" s="2" customFormat="1" ht="25.5" x14ac:dyDescent="0.2">
      <c r="A24" s="126" t="s">
        <v>134</v>
      </c>
      <c r="B24" s="116" t="s">
        <v>425</v>
      </c>
      <c r="C24" s="117" t="s">
        <v>99</v>
      </c>
      <c r="D24" s="116" t="s">
        <v>426</v>
      </c>
      <c r="E24" s="118" t="s">
        <v>97</v>
      </c>
      <c r="F24" s="119"/>
    </row>
    <row r="25" spans="1:6" s="2" customFormat="1" x14ac:dyDescent="0.2">
      <c r="A25" s="109"/>
      <c r="B25" s="116"/>
      <c r="C25" s="117"/>
      <c r="D25" s="116"/>
      <c r="E25" s="118"/>
      <c r="F25" s="119"/>
    </row>
    <row r="26" spans="1:6" s="2" customFormat="1" x14ac:dyDescent="0.2">
      <c r="A26" s="109"/>
      <c r="B26" s="116"/>
      <c r="C26" s="117"/>
      <c r="D26" s="116"/>
      <c r="E26" s="118"/>
      <c r="F26" s="119"/>
    </row>
    <row r="27" spans="1:6" s="2" customFormat="1" x14ac:dyDescent="0.2">
      <c r="A27" s="126"/>
      <c r="B27" s="116"/>
      <c r="C27" s="117"/>
      <c r="D27" s="116"/>
      <c r="E27" s="118"/>
      <c r="F27" s="119"/>
    </row>
    <row r="28" spans="1:6" s="2" customFormat="1" x14ac:dyDescent="0.2">
      <c r="A28" s="109"/>
      <c r="B28" s="116"/>
      <c r="C28" s="117"/>
      <c r="D28" s="116"/>
      <c r="E28" s="118"/>
      <c r="F28" s="119"/>
    </row>
    <row r="29" spans="1:6" s="2" customFormat="1" x14ac:dyDescent="0.2">
      <c r="A29" s="109"/>
      <c r="B29" s="116"/>
      <c r="C29" s="117"/>
      <c r="D29" s="116"/>
      <c r="E29" s="118"/>
      <c r="F29" s="119"/>
    </row>
    <row r="30" spans="1:6" s="2" customFormat="1" x14ac:dyDescent="0.2">
      <c r="A30" s="109"/>
      <c r="B30" s="116"/>
      <c r="C30" s="117"/>
      <c r="D30" s="116"/>
      <c r="E30" s="118"/>
      <c r="F30" s="119"/>
    </row>
    <row r="31" spans="1:6" s="2" customFormat="1" x14ac:dyDescent="0.2">
      <c r="A31" s="109"/>
      <c r="B31" s="116"/>
      <c r="C31" s="117"/>
      <c r="D31" s="116"/>
      <c r="E31" s="118"/>
      <c r="F31" s="119"/>
    </row>
    <row r="32" spans="1:6" s="2" customFormat="1" x14ac:dyDescent="0.2">
      <c r="A32" s="109"/>
      <c r="B32" s="116"/>
      <c r="C32" s="117"/>
      <c r="D32" s="116"/>
      <c r="E32" s="118"/>
      <c r="F32" s="119"/>
    </row>
    <row r="33" spans="1:7" s="2" customFormat="1" x14ac:dyDescent="0.2">
      <c r="A33" s="109"/>
      <c r="B33" s="116"/>
      <c r="C33" s="117"/>
      <c r="D33" s="116"/>
      <c r="E33" s="118"/>
      <c r="F33" s="119"/>
    </row>
    <row r="34" spans="1:7" s="2" customFormat="1" x14ac:dyDescent="0.2">
      <c r="A34" s="109"/>
      <c r="B34" s="116"/>
      <c r="C34" s="117"/>
      <c r="D34" s="116"/>
      <c r="E34" s="118"/>
      <c r="F34" s="119"/>
    </row>
    <row r="35" spans="1:7" s="2" customFormat="1" x14ac:dyDescent="0.2">
      <c r="A35" s="109"/>
      <c r="B35" s="116"/>
      <c r="C35" s="117"/>
      <c r="D35" s="116"/>
      <c r="E35" s="118"/>
      <c r="F35" s="119"/>
    </row>
    <row r="36" spans="1:7" s="2" customFormat="1" x14ac:dyDescent="0.2">
      <c r="A36" s="109"/>
      <c r="B36" s="116"/>
      <c r="C36" s="117"/>
      <c r="D36" s="116"/>
      <c r="E36" s="118"/>
      <c r="F36" s="119"/>
    </row>
    <row r="37" spans="1:7" s="2" customFormat="1" hidden="1" x14ac:dyDescent="0.2">
      <c r="A37" s="94"/>
      <c r="B37" s="99"/>
      <c r="C37" s="101"/>
      <c r="D37" s="99"/>
      <c r="E37" s="102"/>
      <c r="F37" s="100"/>
    </row>
    <row r="38" spans="1:7" ht="34.5" customHeight="1" x14ac:dyDescent="0.2">
      <c r="A38" s="105" t="s">
        <v>427</v>
      </c>
      <c r="B38" s="106" t="s">
        <v>428</v>
      </c>
      <c r="C38" s="107">
        <f>C39+C40</f>
        <v>14</v>
      </c>
      <c r="D38" s="108" t="str">
        <f>IF(SUBTOTAL(3,C11:C37)=SUBTOTAL(103,C11:C37),'Summary and sign-off'!$A$48,'Summary and sign-off'!$A$49)</f>
        <v>Check - there are no hidden rows with data</v>
      </c>
      <c r="E38" s="152" t="str">
        <f>IF('Summary and sign-off'!F60='Summary and sign-off'!F54,'Summary and sign-off'!A52,'Summary and sign-off'!A50)</f>
        <v>Check - each entry provides sufficient information</v>
      </c>
      <c r="F38" s="152"/>
      <c r="G38" s="2"/>
    </row>
    <row r="39" spans="1:7" ht="25.5" customHeight="1" x14ac:dyDescent="0.25">
      <c r="A39" s="54"/>
      <c r="B39" s="55" t="s">
        <v>99</v>
      </c>
      <c r="C39" s="56">
        <f>COUNTIF(C11:C37,'Summary and sign-off'!A45)</f>
        <v>13</v>
      </c>
      <c r="D39" s="14"/>
      <c r="E39" s="15"/>
      <c r="F39" s="16"/>
    </row>
    <row r="40" spans="1:7" ht="25.5" customHeight="1" x14ac:dyDescent="0.25">
      <c r="A40" s="54"/>
      <c r="B40" s="55" t="s">
        <v>100</v>
      </c>
      <c r="C40" s="56">
        <f>COUNTIF(C11:C37,'Summary and sign-off'!A46)</f>
        <v>1</v>
      </c>
      <c r="D40" s="14"/>
      <c r="E40" s="15"/>
      <c r="F40" s="16"/>
    </row>
    <row r="41" spans="1:7" x14ac:dyDescent="0.2">
      <c r="A41" s="17"/>
      <c r="B41" s="18"/>
      <c r="C41" s="17"/>
      <c r="D41" s="19"/>
      <c r="E41" s="19"/>
      <c r="F41" s="17"/>
    </row>
    <row r="42" spans="1:7" x14ac:dyDescent="0.2">
      <c r="A42" s="18" t="s">
        <v>392</v>
      </c>
      <c r="B42" s="18"/>
      <c r="C42" s="18"/>
      <c r="D42" s="18"/>
      <c r="E42" s="18"/>
      <c r="F42" s="18"/>
    </row>
    <row r="43" spans="1:7" ht="12.75" customHeight="1" x14ac:dyDescent="0.2">
      <c r="A43" s="20" t="s">
        <v>356</v>
      </c>
      <c r="B43" s="17"/>
      <c r="C43" s="17"/>
      <c r="D43" s="17"/>
      <c r="E43" s="17"/>
    </row>
    <row r="44" spans="1:7" x14ac:dyDescent="0.2">
      <c r="A44" s="20" t="s">
        <v>82</v>
      </c>
      <c r="B44" s="19"/>
      <c r="C44" s="17"/>
      <c r="D44" s="17"/>
      <c r="E44" s="17"/>
      <c r="F44" s="17"/>
    </row>
    <row r="45" spans="1:7" x14ac:dyDescent="0.2">
      <c r="A45" s="20" t="s">
        <v>429</v>
      </c>
      <c r="B45" s="21"/>
      <c r="C45" s="21"/>
      <c r="D45" s="21"/>
      <c r="E45" s="21"/>
      <c r="F45" s="21"/>
    </row>
    <row r="46" spans="1:7" ht="12.75" customHeight="1" x14ac:dyDescent="0.2">
      <c r="A46" s="20" t="s">
        <v>430</v>
      </c>
      <c r="B46" s="17"/>
      <c r="C46" s="17"/>
      <c r="D46" s="17"/>
      <c r="E46" s="17"/>
      <c r="F46" s="17"/>
    </row>
    <row r="47" spans="1:7" ht="12.95" customHeight="1" x14ac:dyDescent="0.2">
      <c r="A47" s="20" t="s">
        <v>431</v>
      </c>
      <c r="B47" s="17"/>
      <c r="C47" s="17"/>
      <c r="D47" s="17"/>
      <c r="E47" s="17"/>
      <c r="F47" s="17"/>
    </row>
    <row r="48" spans="1:7" x14ac:dyDescent="0.2">
      <c r="A48" s="20" t="s">
        <v>432</v>
      </c>
      <c r="C48" s="17"/>
      <c r="D48" s="17"/>
      <c r="E48" s="17"/>
      <c r="F48" s="17"/>
    </row>
    <row r="49" spans="1:6" ht="12.75" customHeight="1" x14ac:dyDescent="0.2">
      <c r="A49" s="20" t="s">
        <v>383</v>
      </c>
      <c r="B49" s="20"/>
      <c r="C49" s="22"/>
      <c r="D49" s="22"/>
      <c r="E49" s="22"/>
      <c r="F49" s="22"/>
    </row>
    <row r="50" spans="1:6" ht="12.75" customHeight="1" x14ac:dyDescent="0.2">
      <c r="A50" s="20"/>
      <c r="B50" s="20"/>
      <c r="C50" s="22"/>
      <c r="D50" s="22"/>
      <c r="E50" s="22"/>
      <c r="F50" s="22"/>
    </row>
    <row r="51" spans="1:6" ht="12.75" hidden="1" customHeight="1" x14ac:dyDescent="0.2">
      <c r="A51" s="20"/>
      <c r="B51" s="20"/>
      <c r="C51" s="22"/>
      <c r="D51" s="22"/>
      <c r="E51" s="22"/>
      <c r="F51" s="22"/>
    </row>
    <row r="52" spans="1:6" x14ac:dyDescent="0.2"/>
    <row r="53" spans="1:6" x14ac:dyDescent="0.2"/>
    <row r="54" spans="1:6" hidden="1" x14ac:dyDescent="0.2">
      <c r="A54" s="18"/>
      <c r="B54" s="18"/>
      <c r="C54" s="18"/>
      <c r="D54" s="18"/>
      <c r="E54" s="18"/>
      <c r="F54" s="18"/>
    </row>
    <row r="55" spans="1:6" hidden="1" x14ac:dyDescent="0.2">
      <c r="A55" s="18"/>
      <c r="B55" s="18"/>
      <c r="C55" s="18"/>
      <c r="D55" s="18"/>
      <c r="E55" s="18"/>
      <c r="F55" s="18"/>
    </row>
    <row r="56" spans="1:6" hidden="1" x14ac:dyDescent="0.2">
      <c r="A56" s="18"/>
      <c r="B56" s="18"/>
      <c r="C56" s="18"/>
      <c r="D56" s="18"/>
      <c r="E56" s="18"/>
      <c r="F56" s="18"/>
    </row>
    <row r="57" spans="1:6" hidden="1" x14ac:dyDescent="0.2">
      <c r="A57" s="18"/>
      <c r="B57" s="18"/>
      <c r="C57" s="18"/>
      <c r="D57" s="18"/>
      <c r="E57" s="18"/>
      <c r="F57" s="18"/>
    </row>
    <row r="58" spans="1:6" hidden="1" x14ac:dyDescent="0.2">
      <c r="A58" s="18"/>
      <c r="B58" s="18"/>
      <c r="C58" s="18"/>
      <c r="D58" s="18"/>
      <c r="E58" s="18"/>
      <c r="F58" s="18"/>
    </row>
  </sheetData>
  <sheetProtection sheet="1" formatCells="0" insertRows="0" deleteRows="0"/>
  <dataConsolidate/>
  <mergeCells count="10">
    <mergeCell ref="E38:F38"/>
    <mergeCell ref="A8:F8"/>
    <mergeCell ref="A1:F1"/>
    <mergeCell ref="A9:F9"/>
    <mergeCell ref="B2:F2"/>
    <mergeCell ref="B3:F3"/>
    <mergeCell ref="B4:F4"/>
    <mergeCell ref="B7:F7"/>
    <mergeCell ref="B5:F5"/>
    <mergeCell ref="B6:F6"/>
  </mergeCells>
  <dataValidations count="3">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11:A14 A37" xr:uid="{00000000-0002-0000-0500-000000000000}">
      <formula1>$B$4</formula1>
      <formula2>$B$5</formula2>
    </dataValidation>
    <dataValidation allowBlank="1" showInputMessage="1" showErrorMessage="1" prompt="Insert additional rows as needed:_x000a_- 'right click' on a row number (left of screen)_x000a_- select 'Insert' (this will insert a row above it)" sqref="A10" xr:uid="{00000000-0002-0000-0500-000001000000}"/>
    <dataValidation type="date" errorStyle="warning" allowBlank="1" showInputMessage="1" showErrorMessage="1" error="This date may be outside the timeframe indicated (eg 2018/19 year)" prompt="Any non-standard date format or date outside the disclosure period (typically 1 July - 30 June) will raise an alert. Check entry and select 'Yes' to accept/continue." sqref="A15 A16:A19 A20 A21 A22:A29 A30 A31 A32 A33 A34 A35 A36" xr:uid="{E2AC63DE-68EE-4701-85B3-49225E7647B2}">
      <formula1>$B$4</formula1>
      <formula2>$B$5</formula2>
    </dataValidation>
  </dataValidations>
  <printOptions gridLines="1"/>
  <pageMargins left="0.70866141732283472" right="0.70866141732283472" top="0.74803149606299213" bottom="0.74803149606299213" header="0.31496062992125984" footer="0.31496062992125984"/>
  <pageSetup paperSize="9" scale="66" fitToHeight="0" orientation="landscape" r:id="rId1"/>
  <headerFooter alignWithMargins="0">
    <oddFooter>&amp;LCE Expense Disclosure Workbook 2018&amp;RWorksheet - Gifts and benefits</oddFooter>
  </headerFooter>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error="Use the drop down list (at the right of the cell)" xr:uid="{00000000-0002-0000-0500-000002000000}">
          <x14:formula1>
            <xm:f>'Summary and sign-off'!$A$45:$A$46</xm:f>
          </x14:formula1>
          <xm:sqref>C11:C37</xm:sqref>
        </x14:dataValidation>
        <x14:dataValidation type="list" errorStyle="information" operator="greaterThan" allowBlank="1" showInputMessage="1" prompt="Provide specific $ value if possible" xr:uid="{00000000-0002-0000-0500-000003000000}">
          <x14:formula1>
            <xm:f>'Summary and sign-off'!$A$39:$A$44</xm:f>
          </x14:formula1>
          <xm:sqref>E11:E37</xm:sqref>
        </x14:dataValidation>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r:uid="{00000000-0002-0000-0500-000004000000}">
          <x14:formula1>
            <xm:f>'Summary and sign-off'!$A$27:$A$28</xm:f>
          </x14:formula1>
          <xm:sqref>B6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r:uid="{00000000-0002-0000-0500-000005000000}">
          <x14:formula1>
            <xm:f>'Summary and sign-off'!$A$29:$A$30</xm:f>
          </x14:formula1>
          <xm:sqref>B7:F7</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ubactivity xmlns="4f9c820c-e7e2-444d-97ee-45f2b3485c1d" xsi:nil="true"/>
    <PRADateDisposal xmlns="4f9c820c-e7e2-444d-97ee-45f2b3485c1d" xsi:nil="true"/>
    <BusinessValue xmlns="4f9c820c-e7e2-444d-97ee-45f2b3485c1d" xsi:nil="true"/>
    <zLegacy xmlns="acb26242-dc21-4420-965a-f5c1d8109808" xsi:nil="true"/>
    <KeyWords xmlns="15ffb055-6eb4-45a1-bc20-bf2ac0d420da" xsi:nil="true"/>
    <SecurityClassification xmlns="15ffb055-6eb4-45a1-bc20-bf2ac0d420da" xsi:nil="true"/>
    <PartnerType xmlns="acb26242-dc21-4420-965a-f5c1d8109808" xsi:nil="true"/>
    <Administrative xmlns="cb59e981-3bc6-4f52-8729-00103bb11721" xsi:nil="true"/>
    <ILDate xmlns="cb59e981-3bc6-4f52-8729-00103bb11721" xsi:nil="true"/>
    <PRADate3 xmlns="4f9c820c-e7e2-444d-97ee-45f2b3485c1d" xsi:nil="true"/>
    <PRAText5 xmlns="4f9c820c-e7e2-444d-97ee-45f2b3485c1d" xsi:nil="true"/>
    <Level2 xmlns="c91a514c-9034-4fa3-897a-8352025b26ed">NA</Level2>
    <Activity xmlns="4f9c820c-e7e2-444d-97ee-45f2b3485c1d">Management and Governance</Activity>
    <AggregationStatus xmlns="4f9c820c-e7e2-444d-97ee-45f2b3485c1d">Normal</AggregationStatus>
    <CategoryValue xmlns="4f9c820c-e7e2-444d-97ee-45f2b3485c1d">NA</CategoryValue>
    <PRADate2 xmlns="4f9c820c-e7e2-444d-97ee-45f2b3485c1d" xsi:nil="true"/>
    <fbbc46e6080f4043b8eb3439e6385fb0 xmlns="cb59e981-3bc6-4f52-8729-00103bb11721">
      <Terms xmlns="http://schemas.microsoft.com/office/infopath/2007/PartnerControls"/>
    </fbbc46e6080f4043b8eb3439e6385fb0>
    <Case xmlns="4f9c820c-e7e2-444d-97ee-45f2b3485c1d">Sport NZ</Case>
    <PRAText1 xmlns="4f9c820c-e7e2-444d-97ee-45f2b3485c1d" xsi:nil="true"/>
    <PRAText4 xmlns="4f9c820c-e7e2-444d-97ee-45f2b3485c1d" xsi:nil="true"/>
    <Level3 xmlns="c91a514c-9034-4fa3-897a-8352025b26ed" xsi:nil="true"/>
    <ReadOnlyStatus xmlns="cb59e981-3bc6-4f52-8729-00103bb11721">Open</ReadOnlyStatus>
    <Team xmlns="c91a514c-9034-4fa3-897a-8352025b26ed">NA</Team>
    <zMigrationID xmlns="acb26242-dc21-4420-965a-f5c1d8109808" xsi:nil="true"/>
    <e3343728b5c74b3d8fb6c70eb949629a xmlns="cb59e981-3bc6-4f52-8729-00103bb11721">
      <Terms xmlns="http://schemas.microsoft.com/office/infopath/2007/PartnerControls"/>
    </e3343728b5c74b3d8fb6c70eb949629a>
    <Project xmlns="4f9c820c-e7e2-444d-97ee-45f2b3485c1d">NA</Project>
    <RecordID xmlns="acb26242-dc21-4420-965a-f5c1d8109808" xsi:nil="true"/>
    <zLegacyJSON xmlns="acb26242-dc21-4420-965a-f5c1d8109808" xsi:nil="true"/>
    <FunctionGroup xmlns="4f9c820c-e7e2-444d-97ee-45f2b3485c1d">Sport New Zealand</FunctionGroup>
    <Function xmlns="4f9c820c-e7e2-444d-97ee-45f2b3485c1d">Governance</Function>
    <Channel xmlns="c91a514c-9034-4fa3-897a-8352025b26ed">NA</Channel>
    <RelatedPeople xmlns="4f9c820c-e7e2-444d-97ee-45f2b3485c1d">
      <UserInfo>
        <DisplayName/>
        <AccountId xsi:nil="true"/>
        <AccountType/>
      </UserInfo>
    </RelatedPeople>
    <AggregationNarrative xmlns="725c79e5-42ce-4aa0-ac78-b6418001f0d2" xsi:nil="true"/>
    <PRAType xmlns="4f9c820c-e7e2-444d-97ee-45f2b3485c1d">Doc</PRAType>
    <PRADate1 xmlns="4f9c820c-e7e2-444d-97ee-45f2b3485c1d" xsi:nil="true"/>
    <TaxCatchAll xmlns="542624b3-cffc-481c-adb1-2d25bc83b1e4" xsi:nil="true"/>
    <DocumentType xmlns="4f9c820c-e7e2-444d-97ee-45f2b3485c1d" xsi:nil="true"/>
    <FinancialYear xmlns="acb26242-dc21-4420-965a-f5c1d8109808">2025_2026</FinancialYear>
    <PRAText3 xmlns="4f9c820c-e7e2-444d-97ee-45f2b3485c1d" xsi:nil="true"/>
    <TargetAudience xmlns="cb59e981-3bc6-4f52-8729-00103bb11721">Internal</TargetAudience>
    <Year xmlns="c91a514c-9034-4fa3-897a-8352025b26ed">2025</Year>
    <g8fd85cd35464210baa823c6298a2c0b xmlns="cb59e981-3bc6-4f52-8729-00103bb11721">
      <Terms xmlns="http://schemas.microsoft.com/office/infopath/2007/PartnerControls"/>
    </g8fd85cd35464210baa823c6298a2c0b>
    <Narrative xmlns="4f9c820c-e7e2-444d-97ee-45f2b3485c1d" xsi:nil="true"/>
    <CategoryName xmlns="4f9c820c-e7e2-444d-97ee-45f2b3485c1d" xsi:nil="true"/>
    <PRADateTrigger xmlns="4f9c820c-e7e2-444d-97ee-45f2b3485c1d" xsi:nil="true"/>
    <PRAText2 xmlns="4f9c820c-e7e2-444d-97ee-45f2b3485c1d" xsi:nil="true"/>
    <RDClass xmlns="cb59e981-3bc6-4f52-8729-00103bb11721">TESTCLASS</RDClass>
    <SharedWithUsers xmlns="542624b3-cffc-481c-adb1-2d25bc83b1e4">
      <UserInfo>
        <DisplayName>Ken Smart</DisplayName>
        <AccountId>87</AccountId>
        <AccountType/>
      </UserInfo>
      <UserInfo>
        <DisplayName>Nehalkumar patel</DisplayName>
        <AccountId>157</AccountId>
        <AccountType/>
      </UserInfo>
    </SharedWithUsers>
    <SetLabel xmlns="cb59e981-3bc6-4f52-8729-00103bb11721">T10M</SetLabel>
    <SROverride xmlns="cb59e981-3bc6-4f52-8729-00103bb11721" xsi:nil="true"/>
  </documentManagement>
</p:properties>
</file>

<file path=customXml/item2.xml><?xml version="1.0" encoding="utf-8"?>
<ct:contentTypeSchema xmlns:ct="http://schemas.microsoft.com/office/2006/metadata/contentType" xmlns:ma="http://schemas.microsoft.com/office/2006/metadata/properties/metaAttributes" ct:_="" ma:_="" ma:contentTypeName="eDocument" ma:contentTypeID="0x0101001E94C3B72383DE4DAA17349E0BBF252600CF303D3B26ED3B43AB85D38A55146184" ma:contentTypeVersion="154" ma:contentTypeDescription="Create a new document." ma:contentTypeScope="" ma:versionID="68b41ba04cc78a0b919335ce4411831c">
  <xsd:schema xmlns:xsd="http://www.w3.org/2001/XMLSchema" xmlns:xs="http://www.w3.org/2001/XMLSchema" xmlns:p="http://schemas.microsoft.com/office/2006/metadata/properties" xmlns:ns2="cb59e981-3bc6-4f52-8729-00103bb11721" xmlns:ns3="542624b3-cffc-481c-adb1-2d25bc83b1e4" xmlns:ns4="4f9c820c-e7e2-444d-97ee-45f2b3485c1d" xmlns:ns5="acb26242-dc21-4420-965a-f5c1d8109808" xmlns:ns6="c91a514c-9034-4fa3-897a-8352025b26ed" xmlns:ns7="15ffb055-6eb4-45a1-bc20-bf2ac0d420da" xmlns:ns8="725c79e5-42ce-4aa0-ac78-b6418001f0d2" targetNamespace="http://schemas.microsoft.com/office/2006/metadata/properties" ma:root="true" ma:fieldsID="02a20be641c3fa10c3908b1f04deed1e" ns2:_="" ns3:_="" ns4:_="" ns5:_="" ns6:_="" ns7:_="" ns8:_="">
    <xsd:import namespace="cb59e981-3bc6-4f52-8729-00103bb11721"/>
    <xsd:import namespace="542624b3-cffc-481c-adb1-2d25bc83b1e4"/>
    <xsd:import namespace="4f9c820c-e7e2-444d-97ee-45f2b3485c1d"/>
    <xsd:import namespace="acb26242-dc21-4420-965a-f5c1d8109808"/>
    <xsd:import namespace="c91a514c-9034-4fa3-897a-8352025b26ed"/>
    <xsd:import namespace="15ffb055-6eb4-45a1-bc20-bf2ac0d420da"/>
    <xsd:import namespace="725c79e5-42ce-4aa0-ac78-b6418001f0d2"/>
    <xsd:element name="properties">
      <xsd:complexType>
        <xsd:sequence>
          <xsd:element name="documentManagement">
            <xsd:complexType>
              <xsd:all>
                <xsd:element ref="ns2:g8fd85cd35464210baa823c6298a2c0b" minOccurs="0"/>
                <xsd:element ref="ns3:TaxCatchAll" minOccurs="0"/>
                <xsd:element ref="ns2:e3343728b5c74b3d8fb6c70eb949629a" minOccurs="0"/>
                <xsd:element ref="ns2:fbbc46e6080f4043b8eb3439e6385fb0" minOccurs="0"/>
                <xsd:element ref="ns4:DocumentType" minOccurs="0"/>
                <xsd:element ref="ns5:FinancialYear" minOccurs="0"/>
                <xsd:element ref="ns6:Year" minOccurs="0"/>
                <xsd:element ref="ns7:KeyWords" minOccurs="0"/>
                <xsd:element ref="ns4:Narrative" minOccurs="0"/>
                <xsd:element ref="ns4:Subactivity" minOccurs="0"/>
                <xsd:element ref="ns4:Case" minOccurs="0"/>
                <xsd:element ref="ns4:CategoryName" minOccurs="0"/>
                <xsd:element ref="ns4:CategoryValue" minOccurs="0"/>
                <xsd:element ref="ns4:FunctionGroup" minOccurs="0"/>
                <xsd:element ref="ns4:Function" minOccurs="0"/>
                <xsd:element ref="ns4:Activity" minOccurs="0"/>
                <xsd:element ref="ns6:Channel" minOccurs="0"/>
                <xsd:element ref="ns6:Team" minOccurs="0"/>
                <xsd:element ref="ns4:PRAType" minOccurs="0"/>
                <xsd:element ref="ns4:PRADate1" minOccurs="0"/>
                <xsd:element ref="ns4:PRADate2" minOccurs="0"/>
                <xsd:element ref="ns4:PRADate3" minOccurs="0"/>
                <xsd:element ref="ns4:PRADateDisposal" minOccurs="0"/>
                <xsd:element ref="ns4:PRADateTrigger" minOccurs="0"/>
                <xsd:element ref="ns4:PRAText1" minOccurs="0"/>
                <xsd:element ref="ns4:PRAText2" minOccurs="0"/>
                <xsd:element ref="ns4:PRAText3" minOccurs="0"/>
                <xsd:element ref="ns4:PRAText4" minOccurs="0"/>
                <xsd:element ref="ns4:PRAText5" minOccurs="0"/>
                <xsd:element ref="ns4:AggregationStatus" minOccurs="0"/>
                <xsd:element ref="ns4:Project" minOccurs="0"/>
                <xsd:element ref="ns4:RelatedPeople" minOccurs="0"/>
                <xsd:element ref="ns8:AggregationNarrative" minOccurs="0"/>
                <xsd:element ref="ns7:SecurityClassification" minOccurs="0"/>
                <xsd:element ref="ns6:Level2" minOccurs="0"/>
                <xsd:element ref="ns6:Level3" minOccurs="0"/>
                <xsd:element ref="ns5:RecordID" minOccurs="0"/>
                <xsd:element ref="ns5:PartnerType" minOccurs="0"/>
                <xsd:element ref="ns4:BusinessValue" minOccurs="0"/>
                <xsd:element ref="ns5:zMigrationID" minOccurs="0"/>
                <xsd:element ref="ns5:zLegacy" minOccurs="0"/>
                <xsd:element ref="ns5:zLegacyJSON" minOccurs="0"/>
                <xsd:element ref="ns2:Administrative" minOccurs="0"/>
                <xsd:element ref="ns2:ILDate" minOccurs="0"/>
                <xsd:element ref="ns2:RDClass" minOccurs="0"/>
                <xsd:element ref="ns2:ReadOnlyStatus" minOccurs="0"/>
                <xsd:element ref="ns2:TargetAudience" minOccurs="0"/>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SearchProperties" minOccurs="0"/>
                <xsd:element ref="ns2:MediaServiceBillingMetadata" minOccurs="0"/>
                <xsd:element ref="ns2:SetLabel" minOccurs="0"/>
                <xsd:element ref="ns2:SROverri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b59e981-3bc6-4f52-8729-00103bb11721" elementFormDefault="qualified">
    <xsd:import namespace="http://schemas.microsoft.com/office/2006/documentManagement/types"/>
    <xsd:import namespace="http://schemas.microsoft.com/office/infopath/2007/PartnerControls"/>
    <xsd:element name="g8fd85cd35464210baa823c6298a2c0b" ma:index="8" nillable="true" ma:taxonomy="true" ma:internalName="g8fd85cd35464210baa823c6298a2c0b" ma:taxonomyFieldName="Region" ma:displayName="Region" ma:readOnly="false" ma:default="" ma:fieldId="{08fd85cd-3546-4210-baa8-23c6298a2c0b}" ma:taxonomyMulti="true" ma:sspId="d68587a7-d467-4081-ac26-85ae31d62058" ma:termSetId="3c7aa39d-bcb1-4395-95e9-bdfc8bdf89a6" ma:anchorId="00000000-0000-0000-0000-000000000000" ma:open="false" ma:isKeyword="false">
      <xsd:complexType>
        <xsd:sequence>
          <xsd:element ref="pc:Terms" minOccurs="0" maxOccurs="1"/>
        </xsd:sequence>
      </xsd:complexType>
    </xsd:element>
    <xsd:element name="e3343728b5c74b3d8fb6c70eb949629a" ma:index="10" nillable="true" ma:taxonomy="true" ma:internalName="e3343728b5c74b3d8fb6c70eb949629a" ma:taxonomyFieldName="Sport" ma:displayName="Sporting Organisation" ma:indexed="true" ma:readOnly="false" ma:default="" ma:fieldId="{e3343728-b5c7-4b3d-8fb6-c70eb949629a}" ma:sspId="d68587a7-d467-4081-ac26-85ae31d62058" ma:termSetId="a96e8213-cbf3-4924-bad7-8386f835b475" ma:anchorId="00000000-0000-0000-0000-000000000000" ma:open="false" ma:isKeyword="false">
      <xsd:complexType>
        <xsd:sequence>
          <xsd:element ref="pc:Terms" minOccurs="0" maxOccurs="1"/>
        </xsd:sequence>
      </xsd:complexType>
    </xsd:element>
    <xsd:element name="fbbc46e6080f4043b8eb3439e6385fb0" ma:index="11" nillable="true" ma:taxonomy="true" ma:internalName="fbbc46e6080f4043b8eb3439e6385fb0" ma:taxonomyFieldName="Entity" ma:displayName="Related Entity" ma:readOnly="false" ma:default="" ma:fieldId="{fbbc46e6-080f-4043-b8eb-3439e6385fb0}" ma:sspId="d68587a7-d467-4081-ac26-85ae31d62058" ma:termSetId="9b085499-f376-44aa-942c-39fff5b57f3a" ma:anchorId="00000000-0000-0000-0000-000000000000" ma:open="false" ma:isKeyword="false">
      <xsd:complexType>
        <xsd:sequence>
          <xsd:element ref="pc:Terms" minOccurs="0" maxOccurs="1"/>
        </xsd:sequence>
      </xsd:complexType>
    </xsd:element>
    <xsd:element name="Administrative" ma:index="53" nillable="true" ma:displayName="Administrative" ma:hidden="true" ma:internalName="Administrative" ma:readOnly="false">
      <xsd:simpleType>
        <xsd:restriction base="dms:Text">
          <xsd:maxLength value="255"/>
        </xsd:restriction>
      </xsd:simpleType>
    </xsd:element>
    <xsd:element name="ILDate" ma:index="54" nillable="true" ma:displayName="Date" ma:format="DateTime" ma:hidden="true" ma:internalName="ILDate" ma:readOnly="false">
      <xsd:simpleType>
        <xsd:restriction base="dms:DateTime"/>
      </xsd:simpleType>
    </xsd:element>
    <xsd:element name="RDClass" ma:index="55" nillable="true" ma:displayName="Class" ma:default="TESTCLASS" ma:format="Dropdown" ma:hidden="true" ma:internalName="RDClass">
      <xsd:simpleType>
        <xsd:union memberTypes="dms:Text">
          <xsd:simpleType>
            <xsd:restriction base="dms:Choice">
              <xsd:enumeration value="DEFAULT"/>
              <xsd:enumeration value="TESTCLASS"/>
              <xsd:enumeration value="Changing from People Mangement to Policies and Procedures"/>
              <xsd:enumeration value="Events Management"/>
              <xsd:enumeration value="Activity Management"/>
              <xsd:enumeration value="Strategic Support"/>
              <xsd:enumeration value="World Cups Office Administration activity"/>
              <xsd:enumeration value="SportNZ - Business Improvement"/>
              <xsd:enumeration value="Active Events"/>
            </xsd:restriction>
          </xsd:simpleType>
        </xsd:union>
      </xsd:simpleType>
    </xsd:element>
    <xsd:element name="ReadOnlyStatus" ma:index="56" nillable="true" ma:displayName="Read Only Status" ma:default="Open" ma:hidden="true" ma:internalName="ReadOnlyStatus" ma:readOnly="false">
      <xsd:simpleType>
        <xsd:restriction base="dms:Choice">
          <xsd:enumeration value="Open"/>
          <xsd:enumeration value="Document"/>
          <xsd:enumeration value="Document and Metadata"/>
        </xsd:restriction>
      </xsd:simpleType>
    </xsd:element>
    <xsd:element name="TargetAudience" ma:index="57" nillable="true" ma:displayName="Target Audience" ma:default="Internal" ma:format="RadioButtons" ma:hidden="true" ma:internalName="TargetAudience" ma:readOnly="false">
      <xsd:simpleType>
        <xsd:union memberTypes="dms:Text">
          <xsd:simpleType>
            <xsd:restriction base="dms:Choice">
              <xsd:enumeration value="Internal"/>
              <xsd:enumeration value="External"/>
            </xsd:restriction>
          </xsd:simpleType>
        </xsd:union>
      </xsd:simpleType>
    </xsd:element>
    <xsd:element name="MediaServiceMetadata" ma:index="58" nillable="true" ma:displayName="MediaServiceMetadata" ma:hidden="true" ma:internalName="MediaServiceMetadata" ma:readOnly="true">
      <xsd:simpleType>
        <xsd:restriction base="dms:Note"/>
      </xsd:simpleType>
    </xsd:element>
    <xsd:element name="MediaServiceFastMetadata" ma:index="59" nillable="true" ma:displayName="MediaServiceFastMetadata" ma:hidden="true" ma:internalName="MediaServiceFastMetadata" ma:readOnly="true">
      <xsd:simpleType>
        <xsd:restriction base="dms:Note"/>
      </xsd:simpleType>
    </xsd:element>
    <xsd:element name="MediaServiceAutoKeyPoints" ma:index="60" nillable="true" ma:displayName="MediaServiceAutoKeyPoints" ma:hidden="true" ma:internalName="MediaServiceAutoKeyPoints" ma:readOnly="true">
      <xsd:simpleType>
        <xsd:restriction base="dms:Note"/>
      </xsd:simpleType>
    </xsd:element>
    <xsd:element name="MediaServiceKeyPoints" ma:index="61" nillable="true" ma:displayName="KeyPoints" ma:internalName="MediaServiceKeyPoints" ma:readOnly="true">
      <xsd:simpleType>
        <xsd:restriction base="dms:Note">
          <xsd:maxLength value="255"/>
        </xsd:restriction>
      </xsd:simpleType>
    </xsd:element>
    <xsd:element name="MediaServiceAutoTags" ma:index="62" nillable="true" ma:displayName="Tags" ma:internalName="MediaServiceAutoTags" ma:readOnly="true">
      <xsd:simpleType>
        <xsd:restriction base="dms:Text"/>
      </xsd:simpleType>
    </xsd:element>
    <xsd:element name="MediaServiceGenerationTime" ma:index="63" nillable="true" ma:displayName="MediaServiceGenerationTime" ma:hidden="true" ma:internalName="MediaServiceGenerationTime" ma:readOnly="true">
      <xsd:simpleType>
        <xsd:restriction base="dms:Text"/>
      </xsd:simpleType>
    </xsd:element>
    <xsd:element name="MediaServiceEventHashCode" ma:index="64" nillable="true" ma:displayName="MediaServiceEventHashCode" ma:hidden="true" ma:internalName="MediaServiceEventHashCode" ma:readOnly="true">
      <xsd:simpleType>
        <xsd:restriction base="dms:Text"/>
      </xsd:simpleType>
    </xsd:element>
    <xsd:element name="MediaServiceObjectDetectorVersions" ma:index="67" nillable="true" ma:displayName="MediaServiceObjectDetectorVersions" ma:hidden="true" ma:indexed="true" ma:internalName="MediaServiceObjectDetectorVersions" ma:readOnly="true">
      <xsd:simpleType>
        <xsd:restriction base="dms:Text"/>
      </xsd:simpleType>
    </xsd:element>
    <xsd:element name="MediaServiceSearchProperties" ma:index="68" nillable="true" ma:displayName="MediaServiceSearchProperties" ma:hidden="true" ma:internalName="MediaServiceSearchProperties" ma:readOnly="true">
      <xsd:simpleType>
        <xsd:restriction base="dms:Note"/>
      </xsd:simpleType>
    </xsd:element>
    <xsd:element name="MediaServiceBillingMetadata" ma:index="69" nillable="true" ma:displayName="MediaServiceBillingMetadata" ma:hidden="true" ma:internalName="MediaServiceBillingMetadata" ma:readOnly="true">
      <xsd:simpleType>
        <xsd:restriction base="dms:Note"/>
      </xsd:simpleType>
    </xsd:element>
    <xsd:element name="SetLabel" ma:index="70" nillable="true" ma:displayName="Set Label" ma:default="T10M" ma:hidden="true" ma:internalName="SetLabel">
      <xsd:simpleType>
        <xsd:restriction base="dms:Text">
          <xsd:maxLength value="255"/>
        </xsd:restriction>
      </xsd:simpleType>
    </xsd:element>
    <xsd:element name="SROverride" ma:index="71" nillable="true" ma:displayName="SR Override Label" ma:hidden="true" ma:internalName="SROverrid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42624b3-cffc-481c-adb1-2d25bc83b1e4" elementFormDefault="qualified">
    <xsd:import namespace="http://schemas.microsoft.com/office/2006/documentManagement/types"/>
    <xsd:import namespace="http://schemas.microsoft.com/office/infopath/2007/PartnerControls"/>
    <xsd:element name="TaxCatchAll" ma:index="9" nillable="true" ma:displayName="Taxonomy Catch All Column" ma:hidden="true" ma:list="{29c1fd97-ccf6-4a7b-921e-b4d02c325a92}" ma:internalName="TaxCatchAll" ma:showField="CatchAllData" ma:web="542624b3-cffc-481c-adb1-2d25bc83b1e4">
      <xsd:complexType>
        <xsd:complexContent>
          <xsd:extension base="dms:MultiChoiceLookup">
            <xsd:sequence>
              <xsd:element name="Value" type="dms:Lookup" maxOccurs="unbounded" minOccurs="0" nillable="true"/>
            </xsd:sequence>
          </xsd:extension>
        </xsd:complexContent>
      </xsd:complexType>
    </xsd:element>
    <xsd:element name="SharedWithUsers" ma:index="6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66"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f9c820c-e7e2-444d-97ee-45f2b3485c1d" elementFormDefault="qualified">
    <xsd:import namespace="http://schemas.microsoft.com/office/2006/documentManagement/types"/>
    <xsd:import namespace="http://schemas.microsoft.com/office/infopath/2007/PartnerControls"/>
    <xsd:element name="DocumentType" ma:index="12" nillable="true" ma:displayName="Document Type" ma:format="Dropdown" ma:internalName="DocumentType">
      <xsd:simpleType>
        <xsd:restriction base="dms:Choice">
          <xsd:enumeration value="Application, certificate, consent related"/>
          <xsd:enumeration value="Briefing Paper"/>
          <xsd:enumeration value="Contract, Variation, Agreement"/>
          <xsd:enumeration value="Correspondence"/>
          <xsd:enumeration value="Data"/>
          <xsd:enumeration value="Email"/>
          <xsd:enumeration value="Employment related"/>
          <xsd:enumeration value="Filenote"/>
          <xsd:enumeration value="Financial related"/>
          <xsd:enumeration value="Image or Multi-media"/>
          <xsd:enumeration value="Knowledge, reference"/>
          <xsd:enumeration value="Meeting related"/>
          <xsd:enumeration value="Plan, programme, monitoring"/>
          <xsd:enumeration value="Policy, guideline, procedure"/>
          <xsd:enumeration value="Presentation"/>
          <xsd:enumeration value="Publication"/>
          <xsd:enumeration value="Report, or planning related"/>
          <xsd:enumeration value="Template, Checklist or Form"/>
        </xsd:restriction>
      </xsd:simpleType>
    </xsd:element>
    <xsd:element name="Narrative" ma:index="16" nillable="true" ma:displayName="Narrative" ma:description="Enter a description of what this document is about." ma:internalName="Narrative" ma:readOnly="false">
      <xsd:simpleType>
        <xsd:restriction base="dms:Note">
          <xsd:maxLength value="255"/>
        </xsd:restriction>
      </xsd:simpleType>
    </xsd:element>
    <xsd:element name="Subactivity" ma:index="19" nillable="true" ma:displayName="Subactivity" ma:default="" ma:hidden="true" ma:indexed="true" ma:internalName="Subactivity" ma:readOnly="false">
      <xsd:simpleType>
        <xsd:restriction base="dms:Text">
          <xsd:maxLength value="255"/>
        </xsd:restriction>
      </xsd:simpleType>
    </xsd:element>
    <xsd:element name="Case" ma:index="20" nillable="true" ma:displayName="Case" ma:default="NA" ma:hidden="true" ma:indexed="true" ma:internalName="Case" ma:readOnly="false">
      <xsd:simpleType>
        <xsd:restriction base="dms:Text">
          <xsd:maxLength value="255"/>
        </xsd:restriction>
      </xsd:simpleType>
    </xsd:element>
    <xsd:element name="CategoryName" ma:index="21" nillable="true" ma:displayName="Category" ma:format="Dropdown" ma:indexed="true" ma:internalName="CategoryName">
      <xsd:simpleType>
        <xsd:union memberTypes="dms:Text">
          <xsd:simpleType>
            <xsd:restriction base="dms:Choice">
              <xsd:enumeration value="Annual Report"/>
              <xsd:enumeration value="Annual Review Questions"/>
              <xsd:enumeration value="Estimates Questions"/>
              <xsd:enumeration value="Quarterly Performance Report"/>
              <xsd:enumeration value="Statement of Intent"/>
              <xsd:enumeration value="Statement of Performance Expectations"/>
              <xsd:enumeration value="Demonstrating Impact"/>
            </xsd:restriction>
          </xsd:simpleType>
        </xsd:union>
      </xsd:simpleType>
    </xsd:element>
    <xsd:element name="CategoryValue" ma:index="22" nillable="true" ma:displayName="Category 2" ma:default="NA" ma:hidden="true" ma:indexed="true" ma:internalName="CategoryValue" ma:readOnly="false">
      <xsd:simpleType>
        <xsd:restriction base="dms:Text">
          <xsd:maxLength value="255"/>
        </xsd:restriction>
      </xsd:simpleType>
    </xsd:element>
    <xsd:element name="FunctionGroup" ma:index="23" nillable="true" ma:displayName="Function Group" ma:default="Sport New Zealand" ma:hidden="true" ma:indexed="true" ma:internalName="FunctionGroup" ma:readOnly="false">
      <xsd:simpleType>
        <xsd:restriction base="dms:Text">
          <xsd:maxLength value="255"/>
        </xsd:restriction>
      </xsd:simpleType>
    </xsd:element>
    <xsd:element name="Function" ma:index="24" nillable="true" ma:displayName="Function" ma:default="Governance" ma:hidden="true" ma:indexed="true" ma:internalName="Function" ma:readOnly="false">
      <xsd:simpleType>
        <xsd:restriction base="dms:Text">
          <xsd:maxLength value="255"/>
        </xsd:restriction>
      </xsd:simpleType>
    </xsd:element>
    <xsd:element name="Activity" ma:index="25" nillable="true" ma:displayName="Activity" ma:default="Management and Governance" ma:hidden="true" ma:indexed="true" ma:internalName="Activity" ma:readOnly="false">
      <xsd:simpleType>
        <xsd:restriction base="dms:Text">
          <xsd:maxLength value="255"/>
        </xsd:restriction>
      </xsd:simpleType>
    </xsd:element>
    <xsd:element name="PRAType" ma:index="28" nillable="true" ma:displayName="PRA Type" ma:default="Doc" ma:hidden="true" ma:internalName="PRAType" ma:readOnly="false">
      <xsd:simpleType>
        <xsd:restriction base="dms:Text">
          <xsd:maxLength value="255"/>
        </xsd:restriction>
      </xsd:simpleType>
    </xsd:element>
    <xsd:element name="PRADate1" ma:index="29" nillable="true" ma:displayName="PRA Date 1" ma:format="DateOnly" ma:hidden="true" ma:internalName="PRADate1" ma:readOnly="false">
      <xsd:simpleType>
        <xsd:restriction base="dms:DateTime"/>
      </xsd:simpleType>
    </xsd:element>
    <xsd:element name="PRADate2" ma:index="30" nillable="true" ma:displayName="PRA Date 2" ma:format="DateOnly" ma:hidden="true" ma:internalName="PRADate2" ma:readOnly="false">
      <xsd:simpleType>
        <xsd:restriction base="dms:DateTime"/>
      </xsd:simpleType>
    </xsd:element>
    <xsd:element name="PRADate3" ma:index="31" nillable="true" ma:displayName="PRA Date 3" ma:format="DateOnly" ma:hidden="true" ma:internalName="PRADate3" ma:readOnly="false">
      <xsd:simpleType>
        <xsd:restriction base="dms:DateTime"/>
      </xsd:simpleType>
    </xsd:element>
    <xsd:element name="PRADateDisposal" ma:index="32" nillable="true" ma:displayName="PRA Date Disposal" ma:format="DateOnly" ma:hidden="true" ma:internalName="PRADateDisposal" ma:readOnly="false">
      <xsd:simpleType>
        <xsd:restriction base="dms:DateTime"/>
      </xsd:simpleType>
    </xsd:element>
    <xsd:element name="PRADateTrigger" ma:index="33" nillable="true" ma:displayName="PRA Date Trigger" ma:format="DateOnly" ma:hidden="true" ma:internalName="PRADateTrigger" ma:readOnly="false">
      <xsd:simpleType>
        <xsd:restriction base="dms:DateTime"/>
      </xsd:simpleType>
    </xsd:element>
    <xsd:element name="PRAText1" ma:index="34" nillable="true" ma:displayName="PRA Text 1" ma:hidden="true" ma:internalName="PRAText1" ma:readOnly="false">
      <xsd:simpleType>
        <xsd:restriction base="dms:Text">
          <xsd:maxLength value="255"/>
        </xsd:restriction>
      </xsd:simpleType>
    </xsd:element>
    <xsd:element name="PRAText2" ma:index="35" nillable="true" ma:displayName="PRA Text 2" ma:hidden="true" ma:internalName="PRAText2" ma:readOnly="false">
      <xsd:simpleType>
        <xsd:restriction base="dms:Text">
          <xsd:maxLength value="255"/>
        </xsd:restriction>
      </xsd:simpleType>
    </xsd:element>
    <xsd:element name="PRAText3" ma:index="36" nillable="true" ma:displayName="PRA Text 3" ma:hidden="true" ma:internalName="PRAText3" ma:readOnly="false">
      <xsd:simpleType>
        <xsd:restriction base="dms:Text">
          <xsd:maxLength value="255"/>
        </xsd:restriction>
      </xsd:simpleType>
    </xsd:element>
    <xsd:element name="PRAText4" ma:index="37" nillable="true" ma:displayName="PRA Text 4" ma:hidden="true" ma:internalName="PRAText4" ma:readOnly="false">
      <xsd:simpleType>
        <xsd:restriction base="dms:Text">
          <xsd:maxLength value="255"/>
        </xsd:restriction>
      </xsd:simpleType>
    </xsd:element>
    <xsd:element name="PRAText5" ma:index="38" nillable="true" ma:displayName="PRA Text 5" ma:hidden="true" ma:internalName="PRAText5" ma:readOnly="false">
      <xsd:simpleType>
        <xsd:restriction base="dms:Text">
          <xsd:maxLength value="255"/>
        </xsd:restriction>
      </xsd:simpleType>
    </xsd:element>
    <xsd:element name="AggregationStatus" ma:index="39" nillable="true" ma:displayName="Aggregation Status" ma:default="Normal" ma:format="Dropdown" ma:hidden="true" ma:internalName="AggregationStatus" ma:readOnly="false">
      <xsd:simpleType>
        <xsd:restriction base="dms:Choice">
          <xsd:enumeration value="Delete Soon"/>
          <xsd:enumeration value="Transfer Soon"/>
          <xsd:enumeration value="Appraise Soon"/>
          <xsd:enumeration value="Delete"/>
          <xsd:enumeration value="Transfer"/>
          <xsd:enumeration value="Appraise"/>
          <xsd:enumeration value="Hold"/>
          <xsd:enumeration value="Normal"/>
        </xsd:restriction>
      </xsd:simpleType>
    </xsd:element>
    <xsd:element name="Project" ma:index="40" nillable="true" ma:displayName="Project" ma:default="NA" ma:hidden="true" ma:internalName="Project" ma:readOnly="false">
      <xsd:simpleType>
        <xsd:restriction base="dms:Text">
          <xsd:maxLength value="255"/>
        </xsd:restriction>
      </xsd:simpleType>
    </xsd:element>
    <xsd:element name="RelatedPeople" ma:index="41" nillable="true" ma:displayName="Related People" ma:hidden="true" ma:list="UserInfo" ma:SharePointGroup="0" ma:internalName="RelatedPeople" ma:readOnly="fals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BusinessValue" ma:index="48" nillable="true" ma:displayName="Business Value" ma:hidden="true" ma:internalName="BusinessValue" ma:readOnly="fals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cb26242-dc21-4420-965a-f5c1d8109808" elementFormDefault="qualified">
    <xsd:import namespace="http://schemas.microsoft.com/office/2006/documentManagement/types"/>
    <xsd:import namespace="http://schemas.microsoft.com/office/infopath/2007/PartnerControls"/>
    <xsd:element name="FinancialYear" ma:index="13" nillable="true" ma:displayName="Financial Year" ma:default="2026-2027" ma:format="Dropdown" ma:internalName="FinancialYear">
      <xsd:simpleType>
        <xsd:union memberTypes="dms:Text">
          <xsd:simpleType>
            <xsd:restriction base="dms:Choice">
              <xsd:enumeration value="2029-2030"/>
              <xsd:enumeration value="2028-2029"/>
              <xsd:enumeration value="2027-2028"/>
              <xsd:enumeration value="2026-2027"/>
              <xsd:enumeration value="2025-2026"/>
              <xsd:enumeration value="2024-2025"/>
              <xsd:enumeration value="2023-2024"/>
              <xsd:enumeration value="2022-2023"/>
              <xsd:enumeration value="2021-2022"/>
              <xsd:enumeration value="2020-2021"/>
              <xsd:enumeration value="2019-2020"/>
              <xsd:enumeration value="2018-2019"/>
              <xsd:enumeration value="2017-2018"/>
            </xsd:restriction>
          </xsd:simpleType>
        </xsd:union>
      </xsd:simpleType>
    </xsd:element>
    <xsd:element name="RecordID" ma:index="46" nillable="true" ma:displayName="RecordID" ma:hidden="true" ma:internalName="RecordID" ma:readOnly="false">
      <xsd:simpleType>
        <xsd:restriction base="dms:Text">
          <xsd:maxLength value="255"/>
        </xsd:restriction>
      </xsd:simpleType>
    </xsd:element>
    <xsd:element name="PartnerType" ma:index="47" nillable="true" ma:displayName="Partner Type" ma:hidden="true" ma:internalName="PartnerType" ma:readOnly="false">
      <xsd:simpleType>
        <xsd:restriction base="dms:Text">
          <xsd:maxLength value="255"/>
        </xsd:restriction>
      </xsd:simpleType>
    </xsd:element>
    <xsd:element name="zMigrationID" ma:index="50" nillable="true" ma:displayName="zMigrationID" ma:indexed="true" ma:internalName="zMigrationID">
      <xsd:simpleType>
        <xsd:restriction base="dms:Text">
          <xsd:maxLength value="255"/>
        </xsd:restriction>
      </xsd:simpleType>
    </xsd:element>
    <xsd:element name="zLegacy" ma:index="51" nillable="true" ma:displayName="zLegacy" ma:hidden="true" ma:internalName="zLegacy" ma:readOnly="false">
      <xsd:simpleType>
        <xsd:restriction base="dms:Note"/>
      </xsd:simpleType>
    </xsd:element>
    <xsd:element name="zLegacyJSON" ma:index="52" nillable="true" ma:displayName="zLegacyJSON" ma:hidden="true" ma:internalName="zLegacyJSON" ma:readOnly="fals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91a514c-9034-4fa3-897a-8352025b26ed" elementFormDefault="qualified">
    <xsd:import namespace="http://schemas.microsoft.com/office/2006/documentManagement/types"/>
    <xsd:import namespace="http://schemas.microsoft.com/office/infopath/2007/PartnerControls"/>
    <xsd:element name="Year" ma:index="14" nillable="true" ma:displayName="Year" ma:default="2026" ma:format="Dropdown" ma:indexed="true" ma:internalName="Year">
      <xsd:simpleType>
        <xsd:restriction base="dms:Choice">
          <xsd:enumeration value="2029"/>
          <xsd:enumeration value="2028"/>
          <xsd:enumeration value="2027"/>
          <xsd:enumeration value="2026"/>
          <xsd:enumeration value="2025"/>
          <xsd:enumeration value="2024"/>
          <xsd:enumeration value="2023"/>
          <xsd:enumeration value="2022"/>
          <xsd:enumeration value="2021"/>
          <xsd:enumeration value="2020"/>
          <xsd:enumeration value="2019"/>
          <xsd:enumeration value="2018"/>
          <xsd:enumeration value="2017"/>
          <xsd:enumeration value="2016"/>
          <xsd:enumeration value="2015"/>
          <xsd:enumeration value="2014"/>
          <xsd:enumeration value="2013"/>
          <xsd:enumeration value="2012"/>
          <xsd:enumeration value="2011"/>
          <xsd:enumeration value="2010"/>
          <xsd:enumeration value="2009"/>
          <xsd:enumeration value="2008"/>
          <xsd:enumeration value="2007"/>
          <xsd:enumeration value="2006"/>
          <xsd:enumeration value="2005"/>
          <xsd:enumeration value="2004"/>
          <xsd:enumeration value="2003"/>
          <xsd:enumeration value="2002"/>
          <xsd:enumeration value="2001"/>
          <xsd:enumeration value="2000"/>
        </xsd:restriction>
      </xsd:simpleType>
    </xsd:element>
    <xsd:element name="Channel" ma:index="26" nillable="true" ma:displayName="Channel" ma:default="NA" ma:hidden="true" ma:indexed="true" ma:internalName="Channel" ma:readOnly="false">
      <xsd:simpleType>
        <xsd:restriction base="dms:Text">
          <xsd:maxLength value="255"/>
        </xsd:restriction>
      </xsd:simpleType>
    </xsd:element>
    <xsd:element name="Team" ma:index="27" nillable="true" ma:displayName="Team" ma:default="NA" ma:hidden="true" ma:indexed="true" ma:internalName="Team" ma:readOnly="false">
      <xsd:simpleType>
        <xsd:restriction base="dms:Text">
          <xsd:maxLength value="255"/>
        </xsd:restriction>
      </xsd:simpleType>
    </xsd:element>
    <xsd:element name="Level2" ma:index="44" nillable="true" ma:displayName="Level2" ma:default="NA" ma:hidden="true" ma:internalName="Level2" ma:readOnly="false">
      <xsd:simpleType>
        <xsd:restriction base="dms:Text">
          <xsd:maxLength value="255"/>
        </xsd:restriction>
      </xsd:simpleType>
    </xsd:element>
    <xsd:element name="Level3" ma:index="45" nillable="true" ma:displayName="Level3" ma:hidden="true" ma:internalName="Level3" ma:readOnly="fals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5ffb055-6eb4-45a1-bc20-bf2ac0d420da" elementFormDefault="qualified">
    <xsd:import namespace="http://schemas.microsoft.com/office/2006/documentManagement/types"/>
    <xsd:import namespace="http://schemas.microsoft.com/office/infopath/2007/PartnerControls"/>
    <xsd:element name="KeyWords" ma:index="15" nillable="true" ma:displayName="Key Words" ma:internalName="KeyWords">
      <xsd:simpleType>
        <xsd:restriction base="dms:Text"/>
      </xsd:simpleType>
    </xsd:element>
    <xsd:element name="SecurityClassification" ma:index="43" nillable="true" ma:displayName="Security Classification" ma:format="Dropdown" ma:hidden="true" ma:internalName="SecurityClassification">
      <xsd:simpleType>
        <xsd:union memberTypes="dms:Text">
          <xsd:simpleType>
            <xsd:restriction base="dms:Choice">
              <xsd:enumeration value="Confidential"/>
              <xsd:enumeration value="Restricted"/>
              <xsd:enumeration value="Unrestricted"/>
            </xsd:restriction>
          </xsd:simpleType>
        </xsd:union>
      </xsd:simpleType>
    </xsd:element>
  </xsd:schema>
  <xsd:schema xmlns:xsd="http://www.w3.org/2001/XMLSchema" xmlns:xs="http://www.w3.org/2001/XMLSchema" xmlns:dms="http://schemas.microsoft.com/office/2006/documentManagement/types" xmlns:pc="http://schemas.microsoft.com/office/infopath/2007/PartnerControls" targetNamespace="725c79e5-42ce-4aa0-ac78-b6418001f0d2" elementFormDefault="qualified">
    <xsd:import namespace="http://schemas.microsoft.com/office/2006/documentManagement/types"/>
    <xsd:import namespace="http://schemas.microsoft.com/office/infopath/2007/PartnerControls"/>
    <xsd:element name="AggregationNarrative" ma:index="42" nillable="true" ma:displayName="Aggregation Narrative" ma:hidden="true" ma:internalName="AggregationNarrative" ma:readOnly="false">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579D7F4-D0D7-4BCB-BBEA-E7C37A64913E}">
  <ds:schemaRefs>
    <ds:schemaRef ds:uri="725c79e5-42ce-4aa0-ac78-b6418001f0d2"/>
    <ds:schemaRef ds:uri="http://purl.org/dc/elements/1.1/"/>
    <ds:schemaRef ds:uri="http://purl.org/dc/terms/"/>
    <ds:schemaRef ds:uri="http://www.w3.org/XML/1998/namespace"/>
    <ds:schemaRef ds:uri="http://purl.org/dc/dcmitype/"/>
    <ds:schemaRef ds:uri="4f9c820c-e7e2-444d-97ee-45f2b3485c1d"/>
    <ds:schemaRef ds:uri="http://schemas.microsoft.com/office/infopath/2007/PartnerControls"/>
    <ds:schemaRef ds:uri="http://schemas.microsoft.com/office/2006/documentManagement/types"/>
    <ds:schemaRef ds:uri="http://schemas.microsoft.com/office/2006/metadata/properties"/>
    <ds:schemaRef ds:uri="cb59e981-3bc6-4f52-8729-00103bb11721"/>
    <ds:schemaRef ds:uri="http://schemas.openxmlformats.org/package/2006/metadata/core-properties"/>
    <ds:schemaRef ds:uri="542624b3-cffc-481c-adb1-2d25bc83b1e4"/>
    <ds:schemaRef ds:uri="15ffb055-6eb4-45a1-bc20-bf2ac0d420da"/>
    <ds:schemaRef ds:uri="c91a514c-9034-4fa3-897a-8352025b26ed"/>
    <ds:schemaRef ds:uri="acb26242-dc21-4420-965a-f5c1d8109808"/>
  </ds:schemaRefs>
</ds:datastoreItem>
</file>

<file path=customXml/itemProps2.xml><?xml version="1.0" encoding="utf-8"?>
<ds:datastoreItem xmlns:ds="http://schemas.openxmlformats.org/officeDocument/2006/customXml" ds:itemID="{78D89729-F949-4413-AEE1-C227C98C53B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b59e981-3bc6-4f52-8729-00103bb11721"/>
    <ds:schemaRef ds:uri="542624b3-cffc-481c-adb1-2d25bc83b1e4"/>
    <ds:schemaRef ds:uri="4f9c820c-e7e2-444d-97ee-45f2b3485c1d"/>
    <ds:schemaRef ds:uri="acb26242-dc21-4420-965a-f5c1d8109808"/>
    <ds:schemaRef ds:uri="c91a514c-9034-4fa3-897a-8352025b26ed"/>
    <ds:schemaRef ds:uri="15ffb055-6eb4-45a1-bc20-bf2ac0d420da"/>
    <ds:schemaRef ds:uri="725c79e5-42ce-4aa0-ac78-b6418001f0d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C6A401E-B983-48F3-ADF0-8594D7EE483B}">
  <ds:schemaRefs>
    <ds:schemaRef ds:uri="http://schemas.microsoft.com/sharepoint/v3/contenttype/forms"/>
  </ds:schemaRefs>
</ds:datastoreItem>
</file>

<file path=docMetadata/LabelInfo.xml><?xml version="1.0" encoding="utf-8"?>
<clbl:labelList xmlns:clbl="http://schemas.microsoft.com/office/2020/mipLabelMetadata">
  <clbl:label id="{9d5ca952-e4a5-43e6-b17c-c01d313ad135}" enabled="0" method="" siteId="{9d5ca952-e4a5-43e6-b17c-c01d313ad135}"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6</vt:i4>
      </vt:variant>
    </vt:vector>
  </HeadingPairs>
  <TitlesOfParts>
    <vt:vector size="12" baseType="lpstr">
      <vt:lpstr>Guidance for agencies</vt:lpstr>
      <vt:lpstr>Summary and sign-off</vt:lpstr>
      <vt:lpstr>Travel</vt:lpstr>
      <vt:lpstr>Hospitality</vt:lpstr>
      <vt:lpstr>All other expenses</vt:lpstr>
      <vt:lpstr>Gifts and benefits</vt:lpstr>
      <vt:lpstr>'All other expenses'!Print_Area</vt:lpstr>
      <vt:lpstr>'Gifts and benefits'!Print_Area</vt:lpstr>
      <vt:lpstr>'Guidance for agencies'!Print_Area</vt:lpstr>
      <vt:lpstr>Hospitality!Print_Area</vt:lpstr>
      <vt:lpstr>'Summary and sign-off'!Print_Area</vt:lpstr>
      <vt:lpstr>Travel!Print_Area</vt:lpstr>
    </vt:vector>
  </TitlesOfParts>
  <Manager/>
  <Company>SSC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CE-Expense-Disclosure-Workbook-2018</dc:title>
  <dc:subject/>
  <dc:creator>mortensenm</dc:creator>
  <cp:keywords/>
  <dc:description>Version 7 - for review by SIT - ready 2/10/18</dc:description>
  <cp:lastModifiedBy>Paula Ryan</cp:lastModifiedBy>
  <cp:revision/>
  <dcterms:created xsi:type="dcterms:W3CDTF">2023-06-26T21:29:34Z</dcterms:created>
  <dcterms:modified xsi:type="dcterms:W3CDTF">2026-08-20T03:00:45Z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0x0101001E94C3B72383DE4DAA17349E0BBF252600CF303D3B26ED3B43AB85D38A55146184</vt:lpwstr>
  </property>
  <property fmtid="{D5CDD505-2E9C-101B-9397-08002B2CF9AE}" pid="3" name="Modified_x0020_By">
    <vt:lpwstr/>
  </property>
  <property fmtid="{D5CDD505-2E9C-101B-9397-08002B2CF9AE}" pid="4" name="Created By">
    <vt:lpwstr/>
  </property>
  <property fmtid="{D5CDD505-2E9C-101B-9397-08002B2CF9AE}" pid="5" name="Modified By">
    <vt:lpwstr/>
  </property>
  <property fmtid="{D5CDD505-2E9C-101B-9397-08002B2CF9AE}" pid="6" name="Created_x0020_By">
    <vt:lpwstr/>
  </property>
  <property fmtid="{D5CDD505-2E9C-101B-9397-08002B2CF9AE}" pid="7" name="AuthorIds_UIVersion_3585">
    <vt:lpwstr>122</vt:lpwstr>
  </property>
  <property fmtid="{D5CDD505-2E9C-101B-9397-08002B2CF9AE}" pid="8" name="AuthorIds_UIVersion_3587">
    <vt:lpwstr>122</vt:lpwstr>
  </property>
  <property fmtid="{D5CDD505-2E9C-101B-9397-08002B2CF9AE}" pid="9" name="_dlc_DocIdItemGuid">
    <vt:lpwstr>7132db39-8620-438b-a768-7a99ec14233a</vt:lpwstr>
  </property>
  <property fmtid="{D5CDD505-2E9C-101B-9397-08002B2CF9AE}" pid="10" name="SharedWithUsers">
    <vt:lpwstr>87;#Ken Smart;#157;#Nehalkumar patel</vt:lpwstr>
  </property>
  <property fmtid="{D5CDD505-2E9C-101B-9397-08002B2CF9AE}" pid="11" name="Entity">
    <vt:lpwstr/>
  </property>
  <property fmtid="{D5CDD505-2E9C-101B-9397-08002B2CF9AE}" pid="12" name="Region">
    <vt:lpwstr/>
  </property>
  <property fmtid="{D5CDD505-2E9C-101B-9397-08002B2CF9AE}" pid="13" name="Sport">
    <vt:lpwstr/>
  </property>
</Properties>
</file>